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ERVER\New Shared\SALES\AVAILABILITY LISTS\Aquatics\"/>
    </mc:Choice>
  </mc:AlternateContent>
  <xr:revisionPtr revIDLastSave="0" documentId="13_ncr:1_{14905DDB-77DE-4D15-8399-3B5FCB008D76}" xr6:coauthVersionLast="47" xr6:coauthVersionMax="47" xr10:uidLastSave="{00000000-0000-0000-0000-000000000000}"/>
  <bookViews>
    <workbookView xWindow="-120" yWindow="-120" windowWidth="29040" windowHeight="15840" xr2:uid="{00000000-000D-0000-FFFF-FFFF00000000}"/>
  </bookViews>
  <sheets>
    <sheet name="Order" sheetId="1" r:id="rId1"/>
    <sheet name="Print_Order" sheetId="2" r:id="rId2"/>
    <sheet name="A" sheetId="3" r:id="rId3"/>
  </sheets>
  <definedNames>
    <definedName name="_xlnm._FilterDatabase" localSheetId="0" hidden="1">Order!$A$2:$O$894</definedName>
    <definedName name="_xlnm.Print_Area" localSheetId="0">Order!$B$1:$O$950</definedName>
    <definedName name="_xlnm.Print_Area" localSheetId="1">Print_Order!$A$1:$D$145</definedName>
    <definedName name="_xlnm.Print_Titles" localSheetId="0">Order!$2:$7</definedName>
    <definedName name="_xlnm.Print_Titles" localSheetId="1">Print_Order!$1:$4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6" i="1" l="1"/>
  <c r="K94" i="1" l="1"/>
  <c r="K95" i="1"/>
  <c r="K96" i="1"/>
  <c r="K97" i="1"/>
  <c r="K98" i="1"/>
  <c r="K99" i="1"/>
  <c r="K100" i="1"/>
  <c r="K101" i="1"/>
  <c r="K102" i="1"/>
  <c r="K103" i="1"/>
  <c r="K104" i="1"/>
  <c r="K105" i="1"/>
  <c r="K106" i="1"/>
  <c r="K107" i="1"/>
  <c r="K108" i="1"/>
  <c r="L497" i="1"/>
  <c r="L498" i="1"/>
  <c r="L499" i="1"/>
  <c r="K497" i="1"/>
  <c r="K498" i="1"/>
  <c r="K499" i="1"/>
  <c r="K406" i="1"/>
  <c r="K407" i="1"/>
  <c r="K408" i="1"/>
  <c r="K409" i="1"/>
  <c r="K410" i="1"/>
  <c r="K411" i="1"/>
  <c r="K412" i="1"/>
  <c r="K413" i="1"/>
  <c r="K414" i="1"/>
  <c r="K415" i="1"/>
  <c r="K416" i="1"/>
  <c r="K417" i="1"/>
  <c r="K418" i="1"/>
  <c r="K420" i="1"/>
  <c r="L406" i="1"/>
  <c r="L407" i="1"/>
  <c r="L408" i="1"/>
  <c r="L409" i="1"/>
  <c r="L410" i="1"/>
  <c r="L411" i="1"/>
  <c r="L412" i="1"/>
  <c r="L413" i="1"/>
  <c r="L414" i="1"/>
  <c r="L415" i="1"/>
  <c r="L416" i="1"/>
  <c r="L417" i="1"/>
  <c r="L418" i="1"/>
  <c r="L419" i="1"/>
  <c r="U538" i="1"/>
  <c r="S538" i="1"/>
  <c r="R538" i="1"/>
  <c r="A538" i="1" s="1"/>
  <c r="P538" i="1"/>
  <c r="N538" i="1"/>
  <c r="L538" i="1"/>
  <c r="K538" i="1"/>
  <c r="I538" i="1"/>
  <c r="U419" i="1"/>
  <c r="S419" i="1"/>
  <c r="R419" i="1"/>
  <c r="A419" i="1" s="1"/>
  <c r="P419" i="1"/>
  <c r="I419" i="1"/>
  <c r="U108" i="1"/>
  <c r="R108" i="1"/>
  <c r="A108" i="1" s="1"/>
  <c r="P108" i="1"/>
  <c r="P784" i="1"/>
  <c r="P787" i="1"/>
  <c r="P783" i="1"/>
  <c r="P785" i="1"/>
  <c r="P786" i="1"/>
  <c r="P746"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P744" i="1"/>
  <c r="P745" i="1"/>
  <c r="P747" i="1"/>
  <c r="P748" i="1"/>
  <c r="K787" i="1"/>
  <c r="P26" i="1"/>
  <c r="B28" i="1"/>
  <c r="R28" i="1" s="1"/>
  <c r="A28" i="1" s="1"/>
  <c r="B26" i="1"/>
  <c r="R26" i="1" s="1"/>
  <c r="A26" i="1" s="1"/>
  <c r="U25" i="1"/>
  <c r="R25" i="1"/>
  <c r="A25" i="1" s="1"/>
  <c r="K314" i="1"/>
  <c r="K315" i="1"/>
  <c r="K316" i="1"/>
  <c r="K480" i="1"/>
  <c r="K481" i="1"/>
  <c r="L663" i="1"/>
  <c r="L664" i="1"/>
  <c r="K663" i="1"/>
  <c r="K664" i="1"/>
  <c r="B313" i="1"/>
  <c r="U313" i="1" s="1"/>
  <c r="B499" i="1"/>
  <c r="B500" i="1" s="1"/>
  <c r="R500" i="1" s="1"/>
  <c r="A500" i="1" s="1"/>
  <c r="B664" i="1"/>
  <c r="B669" i="1" s="1"/>
  <c r="R669" i="1" s="1"/>
  <c r="A669" i="1" s="1"/>
  <c r="L98" i="1"/>
  <c r="B54" i="1"/>
  <c r="R54" i="1" s="1"/>
  <c r="A54" i="1" s="1"/>
  <c r="AE40" i="3"/>
  <c r="AE39" i="3"/>
  <c r="S98" i="1" s="1"/>
  <c r="U98" i="1"/>
  <c r="P98" i="1"/>
  <c r="A493" i="1"/>
  <c r="A494" i="1"/>
  <c r="A495" i="1"/>
  <c r="A501" i="1"/>
  <c r="P496" i="1"/>
  <c r="P498" i="1"/>
  <c r="P497" i="1"/>
  <c r="U481" i="1"/>
  <c r="S481" i="1"/>
  <c r="R481" i="1"/>
  <c r="A481" i="1" s="1"/>
  <c r="B642" i="1"/>
  <c r="R642" i="1" s="1"/>
  <c r="A642" i="1" s="1"/>
  <c r="S642" i="1"/>
  <c r="P642" i="1"/>
  <c r="U641" i="1"/>
  <c r="S641" i="1"/>
  <c r="R641" i="1"/>
  <c r="A641" i="1" s="1"/>
  <c r="P641" i="1"/>
  <c r="B30" i="1"/>
  <c r="U30" i="1" s="1"/>
  <c r="P664" i="1"/>
  <c r="S664" i="1"/>
  <c r="K746" i="1"/>
  <c r="D656" i="1"/>
  <c r="S656" i="1" s="1"/>
  <c r="K722" i="1"/>
  <c r="K710" i="1"/>
  <c r="K715" i="1"/>
  <c r="K716" i="1"/>
  <c r="K717" i="1"/>
  <c r="K718" i="1"/>
  <c r="K719" i="1"/>
  <c r="K721" i="1"/>
  <c r="L581" i="1"/>
  <c r="K581" i="1"/>
  <c r="L580" i="1"/>
  <c r="K580" i="1"/>
  <c r="L579" i="1"/>
  <c r="K579" i="1"/>
  <c r="L578" i="1"/>
  <c r="K578" i="1"/>
  <c r="L577" i="1"/>
  <c r="K577" i="1"/>
  <c r="L576" i="1"/>
  <c r="K576" i="1"/>
  <c r="L575" i="1"/>
  <c r="K575" i="1"/>
  <c r="L574" i="1"/>
  <c r="K574" i="1"/>
  <c r="L573" i="1"/>
  <c r="K573" i="1"/>
  <c r="L572" i="1"/>
  <c r="K572" i="1"/>
  <c r="L571" i="1"/>
  <c r="K571" i="1"/>
  <c r="L570" i="1"/>
  <c r="K570" i="1"/>
  <c r="L569" i="1"/>
  <c r="K569" i="1"/>
  <c r="L568" i="1"/>
  <c r="K568" i="1"/>
  <c r="L567" i="1"/>
  <c r="K567" i="1"/>
  <c r="L566" i="1"/>
  <c r="K566" i="1"/>
  <c r="L565" i="1"/>
  <c r="K565" i="1"/>
  <c r="L564" i="1"/>
  <c r="K564" i="1"/>
  <c r="L563" i="1"/>
  <c r="K563" i="1"/>
  <c r="L562" i="1"/>
  <c r="K562" i="1"/>
  <c r="L561" i="1"/>
  <c r="K561" i="1"/>
  <c r="L560" i="1"/>
  <c r="K560" i="1"/>
  <c r="L559" i="1"/>
  <c r="K559" i="1"/>
  <c r="L558" i="1"/>
  <c r="K558" i="1"/>
  <c r="L557" i="1"/>
  <c r="K557" i="1"/>
  <c r="L556" i="1"/>
  <c r="K556" i="1"/>
  <c r="L555" i="1"/>
  <c r="K555" i="1"/>
  <c r="L554" i="1"/>
  <c r="K554" i="1"/>
  <c r="L553" i="1"/>
  <c r="K553" i="1"/>
  <c r="L552" i="1"/>
  <c r="K552" i="1"/>
  <c r="L551" i="1"/>
  <c r="K551" i="1"/>
  <c r="L550" i="1"/>
  <c r="K550" i="1"/>
  <c r="L549" i="1"/>
  <c r="K549" i="1"/>
  <c r="L548" i="1"/>
  <c r="K548" i="1"/>
  <c r="L547" i="1"/>
  <c r="K547" i="1"/>
  <c r="L546" i="1"/>
  <c r="K546" i="1"/>
  <c r="L545" i="1"/>
  <c r="K545" i="1"/>
  <c r="L544" i="1"/>
  <c r="K544" i="1"/>
  <c r="L543" i="1"/>
  <c r="K543" i="1"/>
  <c r="L542" i="1"/>
  <c r="K542" i="1"/>
  <c r="L541" i="1"/>
  <c r="K541" i="1"/>
  <c r="L540" i="1"/>
  <c r="K540" i="1"/>
  <c r="L539" i="1"/>
  <c r="K539" i="1"/>
  <c r="L537" i="1"/>
  <c r="K537" i="1"/>
  <c r="L536" i="1"/>
  <c r="K536" i="1"/>
  <c r="L535" i="1"/>
  <c r="K535" i="1"/>
  <c r="L534" i="1"/>
  <c r="K534" i="1"/>
  <c r="L533" i="1"/>
  <c r="K533" i="1"/>
  <c r="L532" i="1"/>
  <c r="K532" i="1"/>
  <c r="L531" i="1"/>
  <c r="K531" i="1"/>
  <c r="L530" i="1"/>
  <c r="K530" i="1"/>
  <c r="L529" i="1"/>
  <c r="K529" i="1"/>
  <c r="L528" i="1"/>
  <c r="K528" i="1"/>
  <c r="L527" i="1"/>
  <c r="K527" i="1"/>
  <c r="L526" i="1"/>
  <c r="K526" i="1"/>
  <c r="L525" i="1"/>
  <c r="K525" i="1"/>
  <c r="L524" i="1"/>
  <c r="K524" i="1"/>
  <c r="L523" i="1"/>
  <c r="K523" i="1"/>
  <c r="L522" i="1"/>
  <c r="K522" i="1"/>
  <c r="L514" i="1"/>
  <c r="K514" i="1"/>
  <c r="M514" i="1"/>
  <c r="L521" i="1"/>
  <c r="K521" i="1"/>
  <c r="L520" i="1"/>
  <c r="K520" i="1"/>
  <c r="L519" i="1"/>
  <c r="K519" i="1"/>
  <c r="L518" i="1"/>
  <c r="K518" i="1"/>
  <c r="L517" i="1"/>
  <c r="K517" i="1"/>
  <c r="L516" i="1"/>
  <c r="K516" i="1"/>
  <c r="L515" i="1"/>
  <c r="K515" i="1"/>
  <c r="L504" i="1"/>
  <c r="K504" i="1"/>
  <c r="L496" i="1"/>
  <c r="K496" i="1"/>
  <c r="L115" i="1"/>
  <c r="K709" i="1"/>
  <c r="K394" i="1"/>
  <c r="A31" i="1"/>
  <c r="A32" i="1"/>
  <c r="A33" i="1"/>
  <c r="A39" i="1"/>
  <c r="A40" i="1"/>
  <c r="A41" i="1"/>
  <c r="A42" i="1"/>
  <c r="A55" i="1"/>
  <c r="A56" i="1"/>
  <c r="A57" i="1"/>
  <c r="A73" i="1"/>
  <c r="A74" i="1"/>
  <c r="A253" i="1"/>
  <c r="A254" i="1"/>
  <c r="A255" i="1"/>
  <c r="A275" i="1"/>
  <c r="A276" i="1"/>
  <c r="A277" i="1"/>
  <c r="A293" i="1"/>
  <c r="A294" i="1"/>
  <c r="A295" i="1"/>
  <c r="A375" i="1"/>
  <c r="A376" i="1"/>
  <c r="A377" i="1"/>
  <c r="A502" i="1"/>
  <c r="A503" i="1"/>
  <c r="A506" i="1"/>
  <c r="A507" i="1"/>
  <c r="A508" i="1"/>
  <c r="A511" i="1"/>
  <c r="A512" i="1"/>
  <c r="A513" i="1"/>
  <c r="A583" i="1"/>
  <c r="A584" i="1"/>
  <c r="A585" i="1"/>
  <c r="A601" i="1"/>
  <c r="A602" i="1"/>
  <c r="A603" i="1"/>
  <c r="A616" i="1"/>
  <c r="A617" i="1"/>
  <c r="A618" i="1"/>
  <c r="A632" i="1"/>
  <c r="A633" i="1"/>
  <c r="A634" i="1"/>
  <c r="A635" i="1"/>
  <c r="A636" i="1"/>
  <c r="A638" i="1"/>
  <c r="A650" i="1"/>
  <c r="A658" i="1"/>
  <c r="A659" i="1"/>
  <c r="A660" i="1"/>
  <c r="A670" i="1"/>
  <c r="A671" i="1"/>
  <c r="A672" i="1"/>
  <c r="A673" i="1"/>
  <c r="A694" i="1"/>
  <c r="A695" i="1"/>
  <c r="A696" i="1"/>
  <c r="A705" i="1"/>
  <c r="A706" i="1"/>
  <c r="A707" i="1"/>
  <c r="A712" i="1"/>
  <c r="A713" i="1"/>
  <c r="A714" i="1"/>
  <c r="A724" i="1"/>
  <c r="A725" i="1"/>
  <c r="A726" i="1"/>
  <c r="A727" i="1"/>
  <c r="A736" i="1"/>
  <c r="A737" i="1"/>
  <c r="A738" i="1"/>
  <c r="A789" i="1"/>
  <c r="A790" i="1"/>
  <c r="A791" i="1"/>
  <c r="A831" i="1"/>
  <c r="A832" i="1"/>
  <c r="A833" i="1"/>
  <c r="A838" i="1"/>
  <c r="A839" i="1"/>
  <c r="A840" i="1"/>
  <c r="A842" i="1"/>
  <c r="A843" i="1"/>
  <c r="A844" i="1"/>
  <c r="A851" i="1"/>
  <c r="A852" i="1"/>
  <c r="A853" i="1"/>
  <c r="A860" i="1"/>
  <c r="A861" i="1"/>
  <c r="A862" i="1"/>
  <c r="A872" i="1"/>
  <c r="A873" i="1"/>
  <c r="A874" i="1"/>
  <c r="A884" i="1"/>
  <c r="A885" i="1"/>
  <c r="A886" i="1"/>
  <c r="A887" i="1"/>
  <c r="A895" i="1"/>
  <c r="A896" i="1"/>
  <c r="A897" i="1"/>
  <c r="A911" i="1"/>
  <c r="A912" i="1"/>
  <c r="A913" i="1"/>
  <c r="A924" i="1"/>
  <c r="A925" i="1"/>
  <c r="A926" i="1"/>
  <c r="A21" i="1"/>
  <c r="A22" i="1"/>
  <c r="U29" i="1"/>
  <c r="R29" i="1"/>
  <c r="U27" i="1"/>
  <c r="R27" i="1"/>
  <c r="U23" i="1"/>
  <c r="R23" i="1"/>
  <c r="A23" i="1" s="1"/>
  <c r="B24" i="1"/>
  <c r="U24" i="1" s="1"/>
  <c r="L486" i="1"/>
  <c r="L487" i="1"/>
  <c r="L488" i="1"/>
  <c r="L489" i="1"/>
  <c r="M280" i="1"/>
  <c r="U320" i="1"/>
  <c r="R320" i="1"/>
  <c r="A320" i="1" s="1"/>
  <c r="P320" i="1"/>
  <c r="U319" i="1"/>
  <c r="R319" i="1"/>
  <c r="P319" i="1"/>
  <c r="U318" i="1"/>
  <c r="R318" i="1"/>
  <c r="A318" i="1" s="1"/>
  <c r="P318" i="1"/>
  <c r="U317" i="1"/>
  <c r="R317" i="1"/>
  <c r="A317" i="1" s="1"/>
  <c r="P317" i="1"/>
  <c r="L314" i="1"/>
  <c r="L315" i="1"/>
  <c r="L316" i="1"/>
  <c r="L317" i="1"/>
  <c r="L318" i="1"/>
  <c r="L319" i="1"/>
  <c r="L320" i="1"/>
  <c r="K317" i="1"/>
  <c r="K318" i="1"/>
  <c r="K319" i="1"/>
  <c r="K320" i="1"/>
  <c r="I314" i="1"/>
  <c r="I315" i="1"/>
  <c r="I316" i="1"/>
  <c r="I317" i="1"/>
  <c r="I318" i="1"/>
  <c r="I319" i="1"/>
  <c r="I320" i="1"/>
  <c r="I321" i="1"/>
  <c r="AF44" i="3"/>
  <c r="S317" i="1" s="1"/>
  <c r="L485" i="1"/>
  <c r="L99" i="1"/>
  <c r="L100" i="1"/>
  <c r="L101" i="1"/>
  <c r="L102" i="1"/>
  <c r="L103" i="1"/>
  <c r="L104" i="1"/>
  <c r="L105" i="1"/>
  <c r="L106" i="1"/>
  <c r="K708" i="1"/>
  <c r="AF112" i="3"/>
  <c r="K880" i="1"/>
  <c r="K881" i="1"/>
  <c r="K882" i="1"/>
  <c r="K439" i="1"/>
  <c r="L467" i="1"/>
  <c r="K421" i="1"/>
  <c r="K745" i="1"/>
  <c r="K747" i="1"/>
  <c r="U746" i="1"/>
  <c r="R746" i="1"/>
  <c r="A746" i="1" s="1"/>
  <c r="S662" i="1"/>
  <c r="P919" i="1"/>
  <c r="P918" i="1"/>
  <c r="B492" i="1"/>
  <c r="R492" i="1" s="1"/>
  <c r="B292" i="1"/>
  <c r="R292" i="1" s="1"/>
  <c r="A292" i="1" s="1"/>
  <c r="B274" i="1"/>
  <c r="R274" i="1" s="1"/>
  <c r="A274" i="1" s="1"/>
  <c r="U747" i="1"/>
  <c r="S747" i="1"/>
  <c r="R747" i="1"/>
  <c r="A747" i="1" s="1"/>
  <c r="K744" i="1"/>
  <c r="K785" i="1"/>
  <c r="K786" i="1"/>
  <c r="P490" i="1"/>
  <c r="P491" i="1"/>
  <c r="U421" i="1"/>
  <c r="R421" i="1"/>
  <c r="A421" i="1" s="1"/>
  <c r="P421" i="1"/>
  <c r="P417" i="1"/>
  <c r="P418" i="1"/>
  <c r="P420" i="1"/>
  <c r="P422" i="1"/>
  <c r="K140" i="1"/>
  <c r="I140" i="1"/>
  <c r="AE112" i="3"/>
  <c r="S140" i="1" s="1"/>
  <c r="U140" i="1"/>
  <c r="R140" i="1"/>
  <c r="A140" i="1" s="1"/>
  <c r="P140" i="1"/>
  <c r="I394" i="1"/>
  <c r="P522" i="1"/>
  <c r="I522" i="1"/>
  <c r="AE6" i="3"/>
  <c r="S78" i="1" s="1"/>
  <c r="AE57" i="3"/>
  <c r="S106" i="1"/>
  <c r="AE66" i="3"/>
  <c r="S114" i="1" s="1"/>
  <c r="AE75" i="3"/>
  <c r="S121" i="1"/>
  <c r="AE111" i="3"/>
  <c r="S139" i="1" s="1"/>
  <c r="AE113" i="3"/>
  <c r="S141" i="1"/>
  <c r="AE197" i="3"/>
  <c r="S205" i="1"/>
  <c r="AE230" i="3"/>
  <c r="S236" i="1"/>
  <c r="S256" i="1"/>
  <c r="S257" i="1"/>
  <c r="S258" i="1"/>
  <c r="S259" i="1"/>
  <c r="S260" i="1"/>
  <c r="S261" i="1"/>
  <c r="S262" i="1"/>
  <c r="S263" i="1"/>
  <c r="S264" i="1"/>
  <c r="S265" i="1"/>
  <c r="S266" i="1"/>
  <c r="S267" i="1"/>
  <c r="S268" i="1"/>
  <c r="S269" i="1"/>
  <c r="S270" i="1"/>
  <c r="S271" i="1"/>
  <c r="S272" i="1"/>
  <c r="S273" i="1"/>
  <c r="S278" i="1"/>
  <c r="S279" i="1"/>
  <c r="S280" i="1"/>
  <c r="S281" i="1"/>
  <c r="S282" i="1"/>
  <c r="S283" i="1"/>
  <c r="S284" i="1"/>
  <c r="S285" i="1"/>
  <c r="S286" i="1"/>
  <c r="S287" i="1"/>
  <c r="S288" i="1"/>
  <c r="S289" i="1"/>
  <c r="S290" i="1"/>
  <c r="S291" i="1"/>
  <c r="AF167" i="3"/>
  <c r="S452" i="1"/>
  <c r="S462" i="1"/>
  <c r="S561" i="1"/>
  <c r="S604" i="1"/>
  <c r="S605" i="1"/>
  <c r="S606" i="1"/>
  <c r="S607" i="1"/>
  <c r="S608" i="1"/>
  <c r="S609" i="1"/>
  <c r="S610" i="1"/>
  <c r="S611" i="1"/>
  <c r="S612" i="1"/>
  <c r="S613" i="1"/>
  <c r="S614" i="1"/>
  <c r="S619" i="1"/>
  <c r="S621" i="1"/>
  <c r="S629" i="1"/>
  <c r="S637" i="1"/>
  <c r="S640" i="1"/>
  <c r="S643" i="1"/>
  <c r="S644" i="1"/>
  <c r="S645" i="1"/>
  <c r="S646" i="1"/>
  <c r="S647" i="1"/>
  <c r="S648" i="1"/>
  <c r="S649" i="1"/>
  <c r="S651" i="1"/>
  <c r="S652" i="1"/>
  <c r="S653" i="1"/>
  <c r="S654" i="1"/>
  <c r="S655" i="1"/>
  <c r="S708" i="1"/>
  <c r="S709" i="1"/>
  <c r="S710" i="1"/>
  <c r="S719" i="1"/>
  <c r="S720" i="1"/>
  <c r="S721" i="1"/>
  <c r="S722" i="1"/>
  <c r="S728" i="1"/>
  <c r="S729" i="1"/>
  <c r="S730" i="1"/>
  <c r="S731" i="1"/>
  <c r="S732" i="1"/>
  <c r="S733" i="1"/>
  <c r="S734" i="1"/>
  <c r="S739" i="1"/>
  <c r="S740" i="1"/>
  <c r="S741" i="1"/>
  <c r="S742" i="1"/>
  <c r="S743" i="1"/>
  <c r="S744" i="1"/>
  <c r="S745"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94" i="1"/>
  <c r="S796" i="1"/>
  <c r="S797" i="1"/>
  <c r="S798" i="1"/>
  <c r="S799" i="1"/>
  <c r="S800" i="1"/>
  <c r="S801" i="1"/>
  <c r="S802" i="1"/>
  <c r="S803" i="1"/>
  <c r="S804" i="1"/>
  <c r="S805" i="1"/>
  <c r="S806" i="1"/>
  <c r="S807" i="1"/>
  <c r="S808" i="1"/>
  <c r="S809" i="1"/>
  <c r="S810" i="1"/>
  <c r="S811" i="1"/>
  <c r="S812" i="1"/>
  <c r="S813" i="1"/>
  <c r="S815" i="1"/>
  <c r="S817" i="1"/>
  <c r="S818" i="1"/>
  <c r="S819" i="1"/>
  <c r="S820" i="1"/>
  <c r="S821" i="1"/>
  <c r="S822" i="1"/>
  <c r="S823" i="1"/>
  <c r="S824" i="1"/>
  <c r="S825" i="1"/>
  <c r="S826" i="1"/>
  <c r="S827" i="1"/>
  <c r="S828" i="1"/>
  <c r="S829" i="1"/>
  <c r="S834" i="1"/>
  <c r="S835" i="1"/>
  <c r="S836" i="1"/>
  <c r="S845" i="1"/>
  <c r="S846" i="1"/>
  <c r="S847" i="1"/>
  <c r="S848" i="1"/>
  <c r="S849" i="1"/>
  <c r="S854" i="1"/>
  <c r="S855" i="1"/>
  <c r="S856" i="1"/>
  <c r="S857" i="1"/>
  <c r="S858" i="1"/>
  <c r="S863" i="1"/>
  <c r="S864" i="1"/>
  <c r="S865" i="1"/>
  <c r="S866" i="1"/>
  <c r="S867" i="1"/>
  <c r="S868" i="1"/>
  <c r="S869" i="1"/>
  <c r="S870" i="1"/>
  <c r="S875" i="1"/>
  <c r="S876" i="1"/>
  <c r="S877" i="1"/>
  <c r="S878" i="1"/>
  <c r="S879" i="1"/>
  <c r="S880" i="1"/>
  <c r="S881" i="1"/>
  <c r="S882" i="1"/>
  <c r="S899" i="1"/>
  <c r="S901" i="1"/>
  <c r="S902" i="1"/>
  <c r="S903" i="1"/>
  <c r="S905" i="1"/>
  <c r="S906" i="1"/>
  <c r="S907" i="1"/>
  <c r="S908" i="1"/>
  <c r="S909" i="1"/>
  <c r="S939" i="1"/>
  <c r="S940" i="1"/>
  <c r="S941" i="1"/>
  <c r="S942" i="1"/>
  <c r="S943" i="1"/>
  <c r="F1" i="1"/>
  <c r="P710" i="1"/>
  <c r="P709" i="1"/>
  <c r="P708" i="1"/>
  <c r="N564" i="1"/>
  <c r="N557" i="1"/>
  <c r="I554" i="1"/>
  <c r="I555" i="1"/>
  <c r="I556" i="1"/>
  <c r="I557" i="1"/>
  <c r="I558" i="1"/>
  <c r="I559" i="1"/>
  <c r="I560" i="1"/>
  <c r="I561" i="1"/>
  <c r="I562" i="1"/>
  <c r="I563" i="1"/>
  <c r="I565" i="1"/>
  <c r="I566" i="1"/>
  <c r="I567" i="1"/>
  <c r="K404" i="1"/>
  <c r="K405" i="1"/>
  <c r="I404" i="1"/>
  <c r="U404" i="1"/>
  <c r="R404" i="1"/>
  <c r="A404" i="1" s="1"/>
  <c r="P404" i="1"/>
  <c r="N404" i="1"/>
  <c r="L404" i="1"/>
  <c r="U564" i="1"/>
  <c r="R564" i="1"/>
  <c r="A564" i="1" s="1"/>
  <c r="P564" i="1"/>
  <c r="U394" i="1"/>
  <c r="R394" i="1"/>
  <c r="A394" i="1" s="1"/>
  <c r="P394" i="1"/>
  <c r="N394" i="1"/>
  <c r="L394" i="1"/>
  <c r="K262" i="1"/>
  <c r="K263" i="1"/>
  <c r="K264" i="1"/>
  <c r="K265" i="1"/>
  <c r="K257" i="1"/>
  <c r="K258" i="1"/>
  <c r="K235" i="1"/>
  <c r="K236" i="1"/>
  <c r="K85" i="1"/>
  <c r="K109" i="1"/>
  <c r="K110" i="1"/>
  <c r="K111" i="1"/>
  <c r="K112" i="1"/>
  <c r="K113" i="1"/>
  <c r="K114" i="1"/>
  <c r="K115" i="1"/>
  <c r="U53" i="1"/>
  <c r="R53" i="1"/>
  <c r="A53" i="1" s="1"/>
  <c r="B883" i="1"/>
  <c r="R883" i="1" s="1"/>
  <c r="A883" i="1" s="1"/>
  <c r="M814" i="1"/>
  <c r="I97" i="1"/>
  <c r="B788" i="1"/>
  <c r="R788" i="1" s="1"/>
  <c r="A788" i="1" s="1"/>
  <c r="U787" i="1"/>
  <c r="R787" i="1"/>
  <c r="A787" i="1" s="1"/>
  <c r="I312" i="1"/>
  <c r="P489" i="1"/>
  <c r="U744" i="1"/>
  <c r="R744" i="1"/>
  <c r="A744" i="1" s="1"/>
  <c r="B711" i="1"/>
  <c r="R711" i="1" s="1"/>
  <c r="A711" i="1" s="1"/>
  <c r="AH230" i="3"/>
  <c r="AG230" i="3"/>
  <c r="AF230" i="3"/>
  <c r="U236" i="1"/>
  <c r="R236" i="1"/>
  <c r="A236" i="1" s="1"/>
  <c r="P236" i="1"/>
  <c r="K471" i="1"/>
  <c r="K400" i="1"/>
  <c r="K386" i="1"/>
  <c r="K387" i="1"/>
  <c r="K388" i="1"/>
  <c r="K389" i="1"/>
  <c r="K390" i="1"/>
  <c r="K391" i="1"/>
  <c r="K392" i="1"/>
  <c r="K393" i="1"/>
  <c r="K395" i="1"/>
  <c r="K396" i="1"/>
  <c r="K397" i="1"/>
  <c r="K398" i="1"/>
  <c r="K399" i="1"/>
  <c r="U400" i="1"/>
  <c r="R400" i="1"/>
  <c r="A400" i="1" s="1"/>
  <c r="P400" i="1"/>
  <c r="U567" i="1"/>
  <c r="R567" i="1"/>
  <c r="A567" i="1" s="1"/>
  <c r="P567" i="1"/>
  <c r="U556" i="1"/>
  <c r="R556" i="1"/>
  <c r="A556" i="1" s="1"/>
  <c r="P556" i="1"/>
  <c r="U535" i="1"/>
  <c r="R535" i="1"/>
  <c r="A535" i="1" s="1"/>
  <c r="P535" i="1"/>
  <c r="U102" i="1"/>
  <c r="R102" i="1"/>
  <c r="A102" i="1" s="1"/>
  <c r="P102" i="1"/>
  <c r="U101" i="1"/>
  <c r="R101" i="1"/>
  <c r="A101" i="1" s="1"/>
  <c r="P101" i="1"/>
  <c r="U100" i="1"/>
  <c r="R100" i="1"/>
  <c r="A100" i="1" s="1"/>
  <c r="P100" i="1"/>
  <c r="U99" i="1"/>
  <c r="R99" i="1"/>
  <c r="A99" i="1" s="1"/>
  <c r="P99" i="1"/>
  <c r="U471" i="1"/>
  <c r="R471" i="1"/>
  <c r="A471" i="1" s="1"/>
  <c r="P471" i="1"/>
  <c r="U409" i="1"/>
  <c r="R409" i="1"/>
  <c r="A409" i="1" s="1"/>
  <c r="P409" i="1"/>
  <c r="U287" i="1"/>
  <c r="R287" i="1"/>
  <c r="A287" i="1" s="1"/>
  <c r="P287" i="1"/>
  <c r="AE67" i="3"/>
  <c r="S115" i="1" s="1"/>
  <c r="AF67" i="3"/>
  <c r="AG67" i="3"/>
  <c r="AH67" i="3"/>
  <c r="R920" i="1"/>
  <c r="A920" i="1" s="1"/>
  <c r="B910" i="1"/>
  <c r="R910" i="1" s="1"/>
  <c r="B830" i="1"/>
  <c r="R830" i="1" s="1"/>
  <c r="A830" i="1" s="1"/>
  <c r="B735" i="1"/>
  <c r="R735" i="1" s="1"/>
  <c r="A735" i="1"/>
  <c r="B615" i="1"/>
  <c r="R615" i="1" s="1"/>
  <c r="A615" i="1" s="1"/>
  <c r="B582" i="1"/>
  <c r="R582" i="1" s="1"/>
  <c r="B72" i="1"/>
  <c r="R51" i="1"/>
  <c r="A51" i="1" s="1"/>
  <c r="U51" i="1"/>
  <c r="U710" i="1"/>
  <c r="R710" i="1"/>
  <c r="A710" i="1" s="1"/>
  <c r="U709" i="1"/>
  <c r="R709" i="1"/>
  <c r="A709" i="1" s="1"/>
  <c r="U708" i="1"/>
  <c r="R708" i="1"/>
  <c r="A708" i="1" s="1"/>
  <c r="U83" i="1"/>
  <c r="R83" i="1"/>
  <c r="A83" i="1" s="1"/>
  <c r="P83" i="1"/>
  <c r="AE10" i="3"/>
  <c r="S83" i="1"/>
  <c r="P115" i="1"/>
  <c r="U115" i="1"/>
  <c r="R115" i="1"/>
  <c r="A115" i="1" s="1"/>
  <c r="U483" i="1"/>
  <c r="R483" i="1"/>
  <c r="A483" i="1" s="1"/>
  <c r="P483" i="1"/>
  <c r="U50" i="1"/>
  <c r="R50" i="1"/>
  <c r="A50" i="1" s="1"/>
  <c r="R666" i="1"/>
  <c r="A666" i="1" s="1"/>
  <c r="I397" i="1"/>
  <c r="L397" i="1"/>
  <c r="M397" i="1"/>
  <c r="N397" i="1"/>
  <c r="P397" i="1"/>
  <c r="R397" i="1"/>
  <c r="A397" i="1" s="1"/>
  <c r="U397" i="1"/>
  <c r="P509" i="1"/>
  <c r="U46" i="1"/>
  <c r="R46" i="1"/>
  <c r="A46" i="1" s="1"/>
  <c r="U49" i="1"/>
  <c r="R49" i="1"/>
  <c r="A49" i="1" s="1"/>
  <c r="B871" i="1"/>
  <c r="R871" i="1" s="1"/>
  <c r="A871" i="1" s="1"/>
  <c r="B723" i="1"/>
  <c r="R723" i="1" s="1"/>
  <c r="A723" i="1" s="1"/>
  <c r="B693" i="1"/>
  <c r="R693" i="1" s="1"/>
  <c r="A693" i="1" s="1"/>
  <c r="B510" i="1"/>
  <c r="R510" i="1" s="1"/>
  <c r="A510" i="1" s="1"/>
  <c r="B505" i="1"/>
  <c r="R505" i="1" s="1"/>
  <c r="A505" i="1" s="1"/>
  <c r="U509" i="1"/>
  <c r="R509" i="1"/>
  <c r="A509" i="1" s="1"/>
  <c r="AH146" i="3"/>
  <c r="AG146" i="3"/>
  <c r="AF146" i="3"/>
  <c r="AE146" i="3"/>
  <c r="AH187" i="3"/>
  <c r="AG187" i="3"/>
  <c r="AF187" i="3"/>
  <c r="S466" i="1"/>
  <c r="AE187" i="3"/>
  <c r="P439" i="1"/>
  <c r="U439" i="1"/>
  <c r="R439" i="1"/>
  <c r="A439" i="1" s="1"/>
  <c r="U466" i="1"/>
  <c r="R466" i="1"/>
  <c r="A466" i="1" s="1"/>
  <c r="P466" i="1"/>
  <c r="P909" i="1"/>
  <c r="U909" i="1"/>
  <c r="R909" i="1"/>
  <c r="A909" i="1" s="1"/>
  <c r="U906" i="1"/>
  <c r="U905" i="1"/>
  <c r="U687" i="1"/>
  <c r="U685" i="1"/>
  <c r="R687" i="1"/>
  <c r="A687" i="1" s="1"/>
  <c r="P687" i="1"/>
  <c r="K697" i="1"/>
  <c r="L697" i="1"/>
  <c r="N697" i="1"/>
  <c r="P697" i="1"/>
  <c r="R697" i="1"/>
  <c r="A697" i="1" s="1"/>
  <c r="U697" i="1"/>
  <c r="K698" i="1"/>
  <c r="L698" i="1"/>
  <c r="M698" i="1"/>
  <c r="N698" i="1"/>
  <c r="P698" i="1"/>
  <c r="R698" i="1"/>
  <c r="A698" i="1" s="1"/>
  <c r="U698" i="1"/>
  <c r="K699" i="1"/>
  <c r="L699" i="1"/>
  <c r="M699" i="1"/>
  <c r="N699" i="1"/>
  <c r="P699" i="1"/>
  <c r="R699" i="1"/>
  <c r="A699" i="1" s="1"/>
  <c r="U699" i="1"/>
  <c r="K700" i="1"/>
  <c r="L700" i="1"/>
  <c r="M700" i="1"/>
  <c r="N700" i="1"/>
  <c r="P700" i="1"/>
  <c r="R700" i="1"/>
  <c r="A700" i="1" s="1"/>
  <c r="U700" i="1"/>
  <c r="K701" i="1"/>
  <c r="L701" i="1"/>
  <c r="M701" i="1"/>
  <c r="N701" i="1"/>
  <c r="P701" i="1"/>
  <c r="R701" i="1"/>
  <c r="A701" i="1" s="1"/>
  <c r="U701" i="1"/>
  <c r="K702" i="1"/>
  <c r="L702" i="1"/>
  <c r="N702" i="1"/>
  <c r="P702" i="1"/>
  <c r="R702" i="1"/>
  <c r="A702" i="1" s="1"/>
  <c r="U702" i="1"/>
  <c r="K703" i="1"/>
  <c r="L703" i="1"/>
  <c r="M703" i="1"/>
  <c r="N703" i="1"/>
  <c r="P703" i="1"/>
  <c r="R703" i="1"/>
  <c r="A703" i="1" s="1"/>
  <c r="U703" i="1"/>
  <c r="B704" i="1"/>
  <c r="R704" i="1"/>
  <c r="A704" i="1" s="1"/>
  <c r="U477" i="1"/>
  <c r="R477" i="1"/>
  <c r="A477" i="1" s="1"/>
  <c r="P477" i="1"/>
  <c r="I399" i="1"/>
  <c r="I477" i="1"/>
  <c r="L477" i="1"/>
  <c r="U284" i="1"/>
  <c r="R284" i="1"/>
  <c r="A284" i="1" s="1"/>
  <c r="P284" i="1"/>
  <c r="P262" i="1"/>
  <c r="P263" i="1"/>
  <c r="P261" i="1"/>
  <c r="U263" i="1"/>
  <c r="R263" i="1"/>
  <c r="A263" i="1" s="1"/>
  <c r="U869" i="1"/>
  <c r="R869" i="1"/>
  <c r="A869" i="1" s="1"/>
  <c r="P869" i="1"/>
  <c r="K793" i="1"/>
  <c r="P665" i="1"/>
  <c r="P666" i="1"/>
  <c r="P667" i="1"/>
  <c r="P668" i="1"/>
  <c r="P662" i="1"/>
  <c r="U878" i="1"/>
  <c r="U877" i="1"/>
  <c r="U879" i="1"/>
  <c r="U880" i="1"/>
  <c r="U644" i="1"/>
  <c r="R644" i="1"/>
  <c r="A644" i="1" s="1"/>
  <c r="P644" i="1"/>
  <c r="U264" i="1"/>
  <c r="R264" i="1"/>
  <c r="A264" i="1" s="1"/>
  <c r="P264" i="1"/>
  <c r="U720" i="1"/>
  <c r="R720" i="1"/>
  <c r="A720" i="1" s="1"/>
  <c r="P720" i="1"/>
  <c r="U271" i="1"/>
  <c r="R271" i="1"/>
  <c r="A271" i="1" s="1"/>
  <c r="P271" i="1"/>
  <c r="U106" i="1"/>
  <c r="R106" i="1"/>
  <c r="A106" i="1" s="1"/>
  <c r="P106" i="1"/>
  <c r="AE168" i="3"/>
  <c r="AF168" i="3"/>
  <c r="S453" i="1"/>
  <c r="AG168" i="3"/>
  <c r="AH168" i="3"/>
  <c r="U453" i="1"/>
  <c r="R453" i="1"/>
  <c r="A453" i="1" s="1"/>
  <c r="P453" i="1"/>
  <c r="U416" i="1"/>
  <c r="R416" i="1"/>
  <c r="A416" i="1" s="1"/>
  <c r="P416" i="1"/>
  <c r="U881" i="1"/>
  <c r="R881" i="1"/>
  <c r="A881" i="1" s="1"/>
  <c r="P881" i="1"/>
  <c r="I882" i="1"/>
  <c r="L882" i="1"/>
  <c r="M882" i="1"/>
  <c r="N882" i="1"/>
  <c r="P882" i="1"/>
  <c r="R882" i="1"/>
  <c r="A882" i="1" s="1"/>
  <c r="U882" i="1"/>
  <c r="L393" i="1"/>
  <c r="U498" i="1"/>
  <c r="R498" i="1"/>
  <c r="A498" i="1"/>
  <c r="U497" i="1"/>
  <c r="R497" i="1"/>
  <c r="A497" i="1" s="1"/>
  <c r="P504" i="1"/>
  <c r="I640" i="1"/>
  <c r="P640" i="1"/>
  <c r="I646" i="1"/>
  <c r="U639" i="1"/>
  <c r="R639" i="1"/>
  <c r="A639" i="1" s="1"/>
  <c r="U93" i="1"/>
  <c r="R93" i="1"/>
  <c r="A93" i="1" s="1"/>
  <c r="U121" i="1"/>
  <c r="U640" i="1"/>
  <c r="R640" i="1"/>
  <c r="A640" i="1" s="1"/>
  <c r="M379" i="1"/>
  <c r="M381" i="1"/>
  <c r="M382" i="1"/>
  <c r="M383" i="1"/>
  <c r="M389" i="1"/>
  <c r="M391" i="1"/>
  <c r="M392" i="1"/>
  <c r="M393" i="1"/>
  <c r="M395" i="1"/>
  <c r="M396" i="1"/>
  <c r="M407" i="1"/>
  <c r="M408" i="1"/>
  <c r="M410" i="1"/>
  <c r="M411" i="1"/>
  <c r="M412" i="1"/>
  <c r="M414" i="1"/>
  <c r="M417" i="1"/>
  <c r="M418" i="1"/>
  <c r="U496" i="1"/>
  <c r="R496" i="1"/>
  <c r="U52" i="1"/>
  <c r="U48" i="1"/>
  <c r="U47" i="1"/>
  <c r="U45" i="1"/>
  <c r="U44" i="1"/>
  <c r="U43" i="1"/>
  <c r="R52" i="1"/>
  <c r="A52" i="1" s="1"/>
  <c r="R48" i="1"/>
  <c r="A48" i="1" s="1"/>
  <c r="R47" i="1"/>
  <c r="A47" i="1" s="1"/>
  <c r="R45" i="1"/>
  <c r="A45" i="1" s="1"/>
  <c r="R44" i="1"/>
  <c r="A44" i="1" s="1"/>
  <c r="R43" i="1"/>
  <c r="A43" i="1" s="1"/>
  <c r="U34" i="1"/>
  <c r="R34" i="1"/>
  <c r="A34" i="1" s="1"/>
  <c r="U35" i="1"/>
  <c r="R35" i="1"/>
  <c r="A35" i="1" s="1"/>
  <c r="U38" i="1"/>
  <c r="R38" i="1"/>
  <c r="A38" i="1" s="1"/>
  <c r="U37" i="1"/>
  <c r="R37" i="1"/>
  <c r="A37" i="1" s="1"/>
  <c r="U36" i="1"/>
  <c r="R36" i="1"/>
  <c r="A36" i="1" s="1"/>
  <c r="N514" i="1"/>
  <c r="I515" i="1"/>
  <c r="M515" i="1"/>
  <c r="N515" i="1"/>
  <c r="I516" i="1"/>
  <c r="N516" i="1"/>
  <c r="I517" i="1"/>
  <c r="M517" i="1"/>
  <c r="N517" i="1"/>
  <c r="I518" i="1"/>
  <c r="M518" i="1"/>
  <c r="N518" i="1"/>
  <c r="I519" i="1"/>
  <c r="N519" i="1"/>
  <c r="U270" i="1"/>
  <c r="R270" i="1"/>
  <c r="A270" i="1" s="1"/>
  <c r="P270" i="1"/>
  <c r="C1" i="2"/>
  <c r="B1" i="2"/>
  <c r="P943" i="1"/>
  <c r="P942" i="1"/>
  <c r="P941" i="1"/>
  <c r="P940" i="1"/>
  <c r="P939" i="1"/>
  <c r="P935" i="1"/>
  <c r="P934" i="1"/>
  <c r="P933" i="1"/>
  <c r="P932" i="1"/>
  <c r="P931" i="1"/>
  <c r="P930" i="1"/>
  <c r="P929" i="1"/>
  <c r="P928" i="1"/>
  <c r="P927" i="1"/>
  <c r="P923" i="1"/>
  <c r="P922" i="1"/>
  <c r="P921" i="1"/>
  <c r="P917" i="1"/>
  <c r="P916" i="1"/>
  <c r="P915" i="1"/>
  <c r="P914" i="1"/>
  <c r="P908" i="1"/>
  <c r="P907" i="1"/>
  <c r="P906" i="1"/>
  <c r="P905" i="1"/>
  <c r="P904" i="1"/>
  <c r="P903" i="1"/>
  <c r="P902" i="1"/>
  <c r="P901" i="1"/>
  <c r="P900" i="1"/>
  <c r="P899" i="1"/>
  <c r="P898" i="1"/>
  <c r="P893" i="1"/>
  <c r="P892" i="1"/>
  <c r="P891" i="1"/>
  <c r="P890" i="1"/>
  <c r="P889" i="1"/>
  <c r="P888" i="1"/>
  <c r="P880" i="1"/>
  <c r="L880" i="1"/>
  <c r="I880" i="1"/>
  <c r="P879" i="1"/>
  <c r="N879" i="1"/>
  <c r="L879" i="1"/>
  <c r="K879" i="1"/>
  <c r="I879" i="1"/>
  <c r="P878" i="1"/>
  <c r="N878" i="1"/>
  <c r="L878" i="1"/>
  <c r="K878" i="1"/>
  <c r="I878" i="1"/>
  <c r="P877" i="1"/>
  <c r="N877" i="1"/>
  <c r="M877" i="1"/>
  <c r="L877" i="1"/>
  <c r="K877" i="1"/>
  <c r="I877" i="1"/>
  <c r="P876" i="1"/>
  <c r="N876" i="1"/>
  <c r="L876" i="1"/>
  <c r="K876" i="1"/>
  <c r="I876" i="1"/>
  <c r="P875" i="1"/>
  <c r="N875" i="1"/>
  <c r="M875" i="1"/>
  <c r="L875" i="1"/>
  <c r="K875" i="1"/>
  <c r="P870" i="1"/>
  <c r="N870" i="1"/>
  <c r="M870" i="1"/>
  <c r="L870" i="1"/>
  <c r="K870" i="1"/>
  <c r="I870" i="1"/>
  <c r="P868" i="1"/>
  <c r="N868" i="1"/>
  <c r="M868" i="1"/>
  <c r="L868" i="1"/>
  <c r="K868" i="1"/>
  <c r="I868" i="1"/>
  <c r="P867" i="1"/>
  <c r="N867" i="1"/>
  <c r="M867" i="1"/>
  <c r="L867" i="1"/>
  <c r="K867" i="1"/>
  <c r="I867" i="1"/>
  <c r="P866" i="1"/>
  <c r="N866" i="1"/>
  <c r="L866" i="1"/>
  <c r="K866" i="1"/>
  <c r="I866" i="1"/>
  <c r="P865" i="1"/>
  <c r="N865" i="1"/>
  <c r="M865" i="1"/>
  <c r="L865" i="1"/>
  <c r="K865" i="1"/>
  <c r="I865" i="1"/>
  <c r="P864" i="1"/>
  <c r="N864" i="1"/>
  <c r="M864" i="1"/>
  <c r="L864" i="1"/>
  <c r="K864" i="1"/>
  <c r="I864" i="1"/>
  <c r="P863" i="1"/>
  <c r="N863" i="1"/>
  <c r="M863" i="1"/>
  <c r="L863" i="1"/>
  <c r="K863" i="1"/>
  <c r="P858" i="1"/>
  <c r="N858" i="1"/>
  <c r="M858" i="1"/>
  <c r="L858" i="1"/>
  <c r="K858" i="1"/>
  <c r="P857" i="1"/>
  <c r="N857" i="1"/>
  <c r="M857" i="1"/>
  <c r="L857" i="1"/>
  <c r="K857" i="1"/>
  <c r="P856" i="1"/>
  <c r="N856" i="1"/>
  <c r="M856" i="1"/>
  <c r="L856" i="1"/>
  <c r="K856" i="1"/>
  <c r="P855" i="1"/>
  <c r="N855" i="1"/>
  <c r="M855" i="1"/>
  <c r="L855" i="1"/>
  <c r="K855" i="1"/>
  <c r="P854" i="1"/>
  <c r="N854" i="1"/>
  <c r="M854" i="1"/>
  <c r="L854" i="1"/>
  <c r="K854" i="1"/>
  <c r="P849" i="1"/>
  <c r="N849" i="1"/>
  <c r="M849" i="1"/>
  <c r="L849" i="1"/>
  <c r="K849" i="1"/>
  <c r="P848" i="1"/>
  <c r="N848" i="1"/>
  <c r="M848" i="1"/>
  <c r="L848" i="1"/>
  <c r="K848" i="1"/>
  <c r="P847" i="1"/>
  <c r="N847" i="1"/>
  <c r="M847" i="1"/>
  <c r="L847" i="1"/>
  <c r="K847" i="1"/>
  <c r="P846" i="1"/>
  <c r="N846" i="1"/>
  <c r="M846" i="1"/>
  <c r="L846" i="1"/>
  <c r="K846" i="1"/>
  <c r="P845" i="1"/>
  <c r="N845" i="1"/>
  <c r="M845" i="1"/>
  <c r="L845" i="1"/>
  <c r="K845" i="1"/>
  <c r="P841" i="1"/>
  <c r="N841" i="1"/>
  <c r="M841" i="1"/>
  <c r="L841" i="1"/>
  <c r="K841" i="1"/>
  <c r="I841" i="1"/>
  <c r="P836" i="1"/>
  <c r="P835" i="1"/>
  <c r="P834" i="1"/>
  <c r="P829" i="1"/>
  <c r="N829" i="1"/>
  <c r="M829" i="1"/>
  <c r="L829" i="1"/>
  <c r="K829" i="1"/>
  <c r="P828" i="1"/>
  <c r="N828" i="1"/>
  <c r="M828" i="1"/>
  <c r="L828" i="1"/>
  <c r="K828" i="1"/>
  <c r="P827" i="1"/>
  <c r="N827" i="1"/>
  <c r="M827" i="1"/>
  <c r="L827" i="1"/>
  <c r="K827" i="1"/>
  <c r="P826" i="1"/>
  <c r="N826" i="1"/>
  <c r="M826" i="1"/>
  <c r="L826" i="1"/>
  <c r="K826" i="1"/>
  <c r="P825" i="1"/>
  <c r="N825" i="1"/>
  <c r="M825" i="1"/>
  <c r="L825" i="1"/>
  <c r="K825" i="1"/>
  <c r="P824" i="1"/>
  <c r="N824" i="1"/>
  <c r="M824" i="1"/>
  <c r="L824" i="1"/>
  <c r="K824" i="1"/>
  <c r="P823" i="1"/>
  <c r="N823" i="1"/>
  <c r="M823" i="1"/>
  <c r="L823" i="1"/>
  <c r="K823" i="1"/>
  <c r="N822" i="1"/>
  <c r="M822" i="1"/>
  <c r="L822" i="1"/>
  <c r="K822" i="1"/>
  <c r="N821" i="1"/>
  <c r="M821" i="1"/>
  <c r="L821" i="1"/>
  <c r="K821" i="1"/>
  <c r="N820" i="1"/>
  <c r="M820" i="1"/>
  <c r="L820" i="1"/>
  <c r="K820" i="1"/>
  <c r="N819" i="1"/>
  <c r="M819" i="1"/>
  <c r="L819" i="1"/>
  <c r="K819" i="1"/>
  <c r="N818" i="1"/>
  <c r="M818" i="1"/>
  <c r="L818" i="1"/>
  <c r="K818" i="1"/>
  <c r="N817" i="1"/>
  <c r="M817" i="1"/>
  <c r="L817" i="1"/>
  <c r="K817" i="1"/>
  <c r="N816" i="1"/>
  <c r="N815" i="1"/>
  <c r="M815" i="1"/>
  <c r="L815" i="1"/>
  <c r="K815" i="1"/>
  <c r="N814" i="1"/>
  <c r="N813" i="1"/>
  <c r="M813" i="1"/>
  <c r="N812" i="1"/>
  <c r="M812" i="1"/>
  <c r="N811" i="1"/>
  <c r="M811" i="1"/>
  <c r="N810" i="1"/>
  <c r="M810" i="1"/>
  <c r="N809" i="1"/>
  <c r="M809" i="1"/>
  <c r="N808" i="1"/>
  <c r="M808" i="1"/>
  <c r="N807" i="1"/>
  <c r="M807" i="1"/>
  <c r="N806" i="1"/>
  <c r="M806" i="1"/>
  <c r="N805" i="1"/>
  <c r="M805" i="1"/>
  <c r="N804" i="1"/>
  <c r="M804" i="1"/>
  <c r="N803" i="1"/>
  <c r="M803" i="1"/>
  <c r="N802" i="1"/>
  <c r="M802" i="1"/>
  <c r="N801" i="1"/>
  <c r="M801" i="1"/>
  <c r="N800" i="1"/>
  <c r="N799" i="1"/>
  <c r="M799" i="1"/>
  <c r="N798" i="1"/>
  <c r="M798" i="1"/>
  <c r="N797" i="1"/>
  <c r="M797" i="1"/>
  <c r="N796" i="1"/>
  <c r="M796" i="1"/>
  <c r="N795" i="1"/>
  <c r="M795" i="1"/>
  <c r="N794" i="1"/>
  <c r="M794" i="1"/>
  <c r="N793" i="1"/>
  <c r="M793" i="1"/>
  <c r="N792" i="1"/>
  <c r="P742" i="1"/>
  <c r="N742" i="1"/>
  <c r="L742" i="1"/>
  <c r="K742" i="1"/>
  <c r="N786" i="1"/>
  <c r="L786" i="1"/>
  <c r="N785" i="1"/>
  <c r="L785" i="1"/>
  <c r="N784" i="1"/>
  <c r="L784" i="1"/>
  <c r="K784" i="1"/>
  <c r="N783" i="1"/>
  <c r="L783" i="1"/>
  <c r="K783" i="1"/>
  <c r="P782" i="1"/>
  <c r="N782" i="1"/>
  <c r="L782" i="1"/>
  <c r="K782" i="1"/>
  <c r="P781" i="1"/>
  <c r="L781" i="1"/>
  <c r="K781" i="1"/>
  <c r="P780" i="1"/>
  <c r="L780" i="1"/>
  <c r="K780" i="1"/>
  <c r="P779" i="1"/>
  <c r="L779" i="1"/>
  <c r="K779" i="1"/>
  <c r="P778" i="1"/>
  <c r="L778" i="1"/>
  <c r="K778" i="1"/>
  <c r="P777" i="1"/>
  <c r="L777" i="1"/>
  <c r="K777" i="1"/>
  <c r="P776" i="1"/>
  <c r="L776" i="1"/>
  <c r="K776" i="1"/>
  <c r="P775" i="1"/>
  <c r="L775" i="1"/>
  <c r="K775" i="1"/>
  <c r="P774" i="1"/>
  <c r="L774" i="1"/>
  <c r="K774" i="1"/>
  <c r="P773" i="1"/>
  <c r="L773" i="1"/>
  <c r="K773" i="1"/>
  <c r="P772" i="1"/>
  <c r="L772" i="1"/>
  <c r="K772" i="1"/>
  <c r="P771" i="1"/>
  <c r="L771" i="1"/>
  <c r="K771" i="1"/>
  <c r="P770" i="1"/>
  <c r="L770" i="1"/>
  <c r="K770" i="1"/>
  <c r="P769" i="1"/>
  <c r="L769" i="1"/>
  <c r="K769" i="1"/>
  <c r="P768" i="1"/>
  <c r="L768" i="1"/>
  <c r="K768" i="1"/>
  <c r="P767" i="1"/>
  <c r="L767" i="1"/>
  <c r="K767" i="1"/>
  <c r="P766" i="1"/>
  <c r="L766" i="1"/>
  <c r="K766" i="1"/>
  <c r="P765" i="1"/>
  <c r="L765" i="1"/>
  <c r="K765" i="1"/>
  <c r="P764" i="1"/>
  <c r="L764" i="1"/>
  <c r="K764" i="1"/>
  <c r="P763" i="1"/>
  <c r="L763" i="1"/>
  <c r="K763" i="1"/>
  <c r="P762" i="1"/>
  <c r="L762" i="1"/>
  <c r="K762" i="1"/>
  <c r="P761" i="1"/>
  <c r="L761" i="1"/>
  <c r="K761" i="1"/>
  <c r="P760" i="1"/>
  <c r="L760" i="1"/>
  <c r="K760" i="1"/>
  <c r="P759" i="1"/>
  <c r="L759" i="1"/>
  <c r="K759" i="1"/>
  <c r="P758" i="1"/>
  <c r="L758" i="1"/>
  <c r="K758" i="1"/>
  <c r="P757" i="1"/>
  <c r="L757" i="1"/>
  <c r="K757" i="1"/>
  <c r="P756" i="1"/>
  <c r="L756" i="1"/>
  <c r="K756" i="1"/>
  <c r="P755" i="1"/>
  <c r="L755" i="1"/>
  <c r="K755" i="1"/>
  <c r="P754" i="1"/>
  <c r="L754" i="1"/>
  <c r="K754" i="1"/>
  <c r="P753" i="1"/>
  <c r="L753" i="1"/>
  <c r="K753" i="1"/>
  <c r="P752" i="1"/>
  <c r="L752" i="1"/>
  <c r="K752" i="1"/>
  <c r="P751" i="1"/>
  <c r="N751" i="1"/>
  <c r="L751" i="1"/>
  <c r="K751" i="1"/>
  <c r="P750" i="1"/>
  <c r="N750" i="1"/>
  <c r="L750" i="1"/>
  <c r="K750" i="1"/>
  <c r="P749" i="1"/>
  <c r="N749" i="1"/>
  <c r="L749" i="1"/>
  <c r="K749" i="1"/>
  <c r="N748" i="1"/>
  <c r="L748" i="1"/>
  <c r="K748" i="1"/>
  <c r="N747" i="1"/>
  <c r="L747" i="1"/>
  <c r="N745" i="1"/>
  <c r="P743" i="1"/>
  <c r="N743" i="1"/>
  <c r="L743" i="1"/>
  <c r="K743" i="1"/>
  <c r="P741" i="1"/>
  <c r="N741" i="1"/>
  <c r="L741" i="1"/>
  <c r="K741" i="1"/>
  <c r="P740" i="1"/>
  <c r="N740" i="1"/>
  <c r="L740" i="1"/>
  <c r="K740" i="1"/>
  <c r="P739" i="1"/>
  <c r="N739" i="1"/>
  <c r="L739" i="1"/>
  <c r="K739" i="1"/>
  <c r="P734" i="1"/>
  <c r="N734" i="1"/>
  <c r="M734" i="1"/>
  <c r="L734" i="1"/>
  <c r="K734" i="1"/>
  <c r="P733" i="1"/>
  <c r="N733" i="1"/>
  <c r="L733" i="1"/>
  <c r="K733" i="1"/>
  <c r="P732" i="1"/>
  <c r="N732" i="1"/>
  <c r="L732" i="1"/>
  <c r="K732" i="1"/>
  <c r="P731" i="1"/>
  <c r="N731" i="1"/>
  <c r="M731" i="1"/>
  <c r="L731" i="1"/>
  <c r="K731" i="1"/>
  <c r="P730" i="1"/>
  <c r="N730" i="1"/>
  <c r="M730" i="1"/>
  <c r="L730" i="1"/>
  <c r="K730" i="1"/>
  <c r="P729" i="1"/>
  <c r="N729" i="1"/>
  <c r="M729" i="1"/>
  <c r="L729" i="1"/>
  <c r="K729" i="1"/>
  <c r="P728" i="1"/>
  <c r="N728" i="1"/>
  <c r="M728" i="1"/>
  <c r="L728" i="1"/>
  <c r="K728" i="1"/>
  <c r="P722" i="1"/>
  <c r="N722" i="1"/>
  <c r="L722" i="1"/>
  <c r="P721" i="1"/>
  <c r="N721" i="1"/>
  <c r="M721" i="1"/>
  <c r="L721" i="1"/>
  <c r="P719" i="1"/>
  <c r="N719" i="1"/>
  <c r="L719" i="1"/>
  <c r="P718" i="1"/>
  <c r="N718" i="1"/>
  <c r="M718" i="1"/>
  <c r="L718" i="1"/>
  <c r="P717" i="1"/>
  <c r="N717" i="1"/>
  <c r="M717" i="1"/>
  <c r="L717" i="1"/>
  <c r="P716" i="1"/>
  <c r="N716" i="1"/>
  <c r="L716" i="1"/>
  <c r="P715" i="1"/>
  <c r="N715" i="1"/>
  <c r="L715" i="1"/>
  <c r="P692" i="1"/>
  <c r="P691" i="1"/>
  <c r="P690" i="1"/>
  <c r="P689" i="1"/>
  <c r="P688" i="1"/>
  <c r="P686" i="1"/>
  <c r="P685" i="1"/>
  <c r="P684" i="1"/>
  <c r="P683" i="1"/>
  <c r="P682" i="1"/>
  <c r="P681" i="1"/>
  <c r="P680" i="1"/>
  <c r="P679" i="1"/>
  <c r="P678" i="1"/>
  <c r="P677" i="1"/>
  <c r="P676" i="1"/>
  <c r="P675" i="1"/>
  <c r="P674" i="1"/>
  <c r="N668" i="1"/>
  <c r="M668" i="1"/>
  <c r="L668" i="1"/>
  <c r="K668" i="1"/>
  <c r="I668" i="1"/>
  <c r="N667" i="1"/>
  <c r="L667" i="1"/>
  <c r="K667" i="1"/>
  <c r="I667" i="1"/>
  <c r="N666" i="1"/>
  <c r="M666" i="1"/>
  <c r="L666" i="1"/>
  <c r="K666" i="1"/>
  <c r="I666" i="1"/>
  <c r="N665" i="1"/>
  <c r="L665" i="1"/>
  <c r="K665" i="1"/>
  <c r="I665" i="1"/>
  <c r="P663" i="1"/>
  <c r="N663" i="1"/>
  <c r="I663" i="1"/>
  <c r="N662" i="1"/>
  <c r="L662" i="1"/>
  <c r="K662" i="1"/>
  <c r="I662" i="1"/>
  <c r="P661" i="1"/>
  <c r="N661" i="1"/>
  <c r="L661" i="1"/>
  <c r="K661" i="1"/>
  <c r="I661" i="1"/>
  <c r="P655" i="1"/>
  <c r="I655" i="1"/>
  <c r="P654" i="1"/>
  <c r="I654" i="1"/>
  <c r="P653" i="1"/>
  <c r="I653" i="1"/>
  <c r="P652" i="1"/>
  <c r="I652" i="1"/>
  <c r="P651" i="1"/>
  <c r="I651" i="1"/>
  <c r="P649" i="1"/>
  <c r="I649" i="1"/>
  <c r="P648" i="1"/>
  <c r="I648" i="1"/>
  <c r="P647" i="1"/>
  <c r="I647" i="1"/>
  <c r="P646" i="1"/>
  <c r="P645" i="1"/>
  <c r="I645" i="1"/>
  <c r="P643" i="1"/>
  <c r="I643" i="1"/>
  <c r="P637" i="1"/>
  <c r="I637" i="1"/>
  <c r="P630" i="1"/>
  <c r="N630" i="1"/>
  <c r="M630" i="1"/>
  <c r="L630" i="1"/>
  <c r="K630" i="1"/>
  <c r="I630" i="1"/>
  <c r="P629" i="1"/>
  <c r="N629" i="1"/>
  <c r="M629" i="1"/>
  <c r="L629" i="1"/>
  <c r="K629" i="1"/>
  <c r="I629" i="1"/>
  <c r="P628" i="1"/>
  <c r="N628" i="1"/>
  <c r="M628" i="1"/>
  <c r="L628" i="1"/>
  <c r="K628" i="1"/>
  <c r="I628" i="1"/>
  <c r="P627" i="1"/>
  <c r="N627" i="1"/>
  <c r="M627" i="1"/>
  <c r="L627" i="1"/>
  <c r="K627" i="1"/>
  <c r="I627" i="1"/>
  <c r="P626" i="1"/>
  <c r="N626" i="1"/>
  <c r="M626" i="1"/>
  <c r="L626" i="1"/>
  <c r="K626" i="1"/>
  <c r="I626" i="1"/>
  <c r="P625" i="1"/>
  <c r="N625" i="1"/>
  <c r="M625" i="1"/>
  <c r="L625" i="1"/>
  <c r="K625" i="1"/>
  <c r="I625" i="1"/>
  <c r="P624" i="1"/>
  <c r="N624" i="1"/>
  <c r="M624" i="1"/>
  <c r="L624" i="1"/>
  <c r="K624" i="1"/>
  <c r="I624" i="1"/>
  <c r="P623" i="1"/>
  <c r="N623" i="1"/>
  <c r="M623" i="1"/>
  <c r="L623" i="1"/>
  <c r="K623" i="1"/>
  <c r="I623" i="1"/>
  <c r="P622" i="1"/>
  <c r="N622" i="1"/>
  <c r="M622" i="1"/>
  <c r="L622" i="1"/>
  <c r="K622" i="1"/>
  <c r="I622" i="1"/>
  <c r="P621" i="1"/>
  <c r="N621" i="1"/>
  <c r="M621" i="1"/>
  <c r="L621" i="1"/>
  <c r="K621" i="1"/>
  <c r="I621" i="1"/>
  <c r="P620" i="1"/>
  <c r="N620" i="1"/>
  <c r="M620" i="1"/>
  <c r="L620" i="1"/>
  <c r="K620" i="1"/>
  <c r="I620" i="1"/>
  <c r="P619" i="1"/>
  <c r="N619" i="1"/>
  <c r="M619" i="1"/>
  <c r="L619" i="1"/>
  <c r="K619" i="1"/>
  <c r="I619" i="1"/>
  <c r="P614" i="1"/>
  <c r="N614" i="1"/>
  <c r="M614" i="1"/>
  <c r="L614" i="1"/>
  <c r="K614" i="1"/>
  <c r="I614" i="1"/>
  <c r="P613" i="1"/>
  <c r="N613" i="1"/>
  <c r="M613" i="1"/>
  <c r="L613" i="1"/>
  <c r="K613" i="1"/>
  <c r="I613" i="1"/>
  <c r="P612" i="1"/>
  <c r="N612" i="1"/>
  <c r="M612" i="1"/>
  <c r="L612" i="1"/>
  <c r="K612" i="1"/>
  <c r="I612" i="1"/>
  <c r="P611" i="1"/>
  <c r="N611" i="1"/>
  <c r="M611" i="1"/>
  <c r="L611" i="1"/>
  <c r="K611" i="1"/>
  <c r="I611" i="1"/>
  <c r="P610" i="1"/>
  <c r="N610" i="1"/>
  <c r="M610" i="1"/>
  <c r="L610" i="1"/>
  <c r="K610" i="1"/>
  <c r="I610" i="1"/>
  <c r="P609" i="1"/>
  <c r="N609" i="1"/>
  <c r="M609" i="1"/>
  <c r="L609" i="1"/>
  <c r="K609" i="1"/>
  <c r="I609" i="1"/>
  <c r="P608" i="1"/>
  <c r="N608" i="1"/>
  <c r="M608" i="1"/>
  <c r="L608" i="1"/>
  <c r="K608" i="1"/>
  <c r="I608" i="1"/>
  <c r="P607" i="1"/>
  <c r="N607" i="1"/>
  <c r="L607" i="1"/>
  <c r="K607" i="1"/>
  <c r="I607" i="1"/>
  <c r="P606" i="1"/>
  <c r="N606" i="1"/>
  <c r="L606" i="1"/>
  <c r="K606" i="1"/>
  <c r="I606" i="1"/>
  <c r="P605" i="1"/>
  <c r="N605" i="1"/>
  <c r="L605" i="1"/>
  <c r="K605" i="1"/>
  <c r="I605" i="1"/>
  <c r="P604" i="1"/>
  <c r="N604" i="1"/>
  <c r="L604" i="1"/>
  <c r="K604" i="1"/>
  <c r="I604" i="1"/>
  <c r="P599" i="1"/>
  <c r="N599" i="1"/>
  <c r="M599" i="1"/>
  <c r="L599" i="1"/>
  <c r="K599" i="1"/>
  <c r="I599" i="1"/>
  <c r="P598" i="1"/>
  <c r="N598" i="1"/>
  <c r="M598" i="1"/>
  <c r="L598" i="1"/>
  <c r="K598" i="1"/>
  <c r="I598" i="1"/>
  <c r="P597" i="1"/>
  <c r="N597" i="1"/>
  <c r="M597" i="1"/>
  <c r="L597" i="1"/>
  <c r="K597" i="1"/>
  <c r="I597" i="1"/>
  <c r="P596" i="1"/>
  <c r="N596" i="1"/>
  <c r="M596" i="1"/>
  <c r="L596" i="1"/>
  <c r="K596" i="1"/>
  <c r="I596" i="1"/>
  <c r="P595" i="1"/>
  <c r="N595" i="1"/>
  <c r="M595" i="1"/>
  <c r="L595" i="1"/>
  <c r="K595" i="1"/>
  <c r="I595" i="1"/>
  <c r="P594" i="1"/>
  <c r="N594" i="1"/>
  <c r="M594" i="1"/>
  <c r="L594" i="1"/>
  <c r="K594" i="1"/>
  <c r="I594" i="1"/>
  <c r="P593" i="1"/>
  <c r="N593" i="1"/>
  <c r="M593" i="1"/>
  <c r="L593" i="1"/>
  <c r="K593" i="1"/>
  <c r="I593" i="1"/>
  <c r="P592" i="1"/>
  <c r="N592" i="1"/>
  <c r="M592" i="1"/>
  <c r="L592" i="1"/>
  <c r="K592" i="1"/>
  <c r="I592" i="1"/>
  <c r="P591" i="1"/>
  <c r="N591" i="1"/>
  <c r="M591" i="1"/>
  <c r="L591" i="1"/>
  <c r="K591" i="1"/>
  <c r="I591" i="1"/>
  <c r="P590" i="1"/>
  <c r="N590" i="1"/>
  <c r="M590" i="1"/>
  <c r="L590" i="1"/>
  <c r="K590" i="1"/>
  <c r="I590" i="1"/>
  <c r="P589" i="1"/>
  <c r="N589" i="1"/>
  <c r="M589" i="1"/>
  <c r="L589" i="1"/>
  <c r="K589" i="1"/>
  <c r="I589" i="1"/>
  <c r="P588" i="1"/>
  <c r="N588" i="1"/>
  <c r="M588" i="1"/>
  <c r="L588" i="1"/>
  <c r="K588" i="1"/>
  <c r="I588" i="1"/>
  <c r="P587" i="1"/>
  <c r="N587" i="1"/>
  <c r="M587" i="1"/>
  <c r="L587" i="1"/>
  <c r="K587" i="1"/>
  <c r="I587" i="1"/>
  <c r="P586" i="1"/>
  <c r="N586" i="1"/>
  <c r="M586" i="1"/>
  <c r="L586" i="1"/>
  <c r="K586" i="1"/>
  <c r="P581" i="1"/>
  <c r="N581" i="1"/>
  <c r="I581" i="1"/>
  <c r="P580" i="1"/>
  <c r="N580" i="1"/>
  <c r="I580" i="1"/>
  <c r="P579" i="1"/>
  <c r="N579" i="1"/>
  <c r="I579" i="1"/>
  <c r="P578" i="1"/>
  <c r="N578" i="1"/>
  <c r="I578" i="1"/>
  <c r="P577" i="1"/>
  <c r="N577" i="1"/>
  <c r="I577" i="1"/>
  <c r="P576" i="1"/>
  <c r="N576" i="1"/>
  <c r="I576" i="1"/>
  <c r="P575" i="1"/>
  <c r="N575" i="1"/>
  <c r="I575" i="1"/>
  <c r="P574" i="1"/>
  <c r="N574" i="1"/>
  <c r="I574" i="1"/>
  <c r="P573" i="1"/>
  <c r="N573" i="1"/>
  <c r="I573" i="1"/>
  <c r="P572" i="1"/>
  <c r="N572" i="1"/>
  <c r="I572" i="1"/>
  <c r="P571" i="1"/>
  <c r="N571" i="1"/>
  <c r="I571" i="1"/>
  <c r="P570" i="1"/>
  <c r="N570" i="1"/>
  <c r="I570" i="1"/>
  <c r="P569" i="1"/>
  <c r="N569" i="1"/>
  <c r="I569" i="1"/>
  <c r="P568" i="1"/>
  <c r="N568" i="1"/>
  <c r="I568" i="1"/>
  <c r="P566" i="1"/>
  <c r="N566" i="1"/>
  <c r="P565" i="1"/>
  <c r="N565" i="1"/>
  <c r="P563" i="1"/>
  <c r="N563" i="1"/>
  <c r="P562" i="1"/>
  <c r="N562" i="1"/>
  <c r="P561" i="1"/>
  <c r="N561" i="1"/>
  <c r="P560" i="1"/>
  <c r="N560" i="1"/>
  <c r="P559" i="1"/>
  <c r="N559" i="1"/>
  <c r="P558" i="1"/>
  <c r="N558" i="1"/>
  <c r="P557" i="1"/>
  <c r="P555" i="1"/>
  <c r="N555" i="1"/>
  <c r="P554" i="1"/>
  <c r="N554" i="1"/>
  <c r="P553" i="1"/>
  <c r="N553" i="1"/>
  <c r="I553" i="1"/>
  <c r="P552" i="1"/>
  <c r="N552" i="1"/>
  <c r="I552" i="1"/>
  <c r="P551" i="1"/>
  <c r="N551" i="1"/>
  <c r="I551" i="1"/>
  <c r="P550" i="1"/>
  <c r="N550" i="1"/>
  <c r="I550" i="1"/>
  <c r="P549" i="1"/>
  <c r="N549" i="1"/>
  <c r="I549" i="1"/>
  <c r="P548" i="1"/>
  <c r="N548" i="1"/>
  <c r="I548" i="1"/>
  <c r="P547" i="1"/>
  <c r="N547" i="1"/>
  <c r="I547" i="1"/>
  <c r="P546" i="1"/>
  <c r="N546" i="1"/>
  <c r="I546" i="1"/>
  <c r="P545" i="1"/>
  <c r="N545" i="1"/>
  <c r="I545" i="1"/>
  <c r="P544" i="1"/>
  <c r="N544" i="1"/>
  <c r="I544" i="1"/>
  <c r="P543" i="1"/>
  <c r="N543" i="1"/>
  <c r="I543" i="1"/>
  <c r="P542" i="1"/>
  <c r="N542" i="1"/>
  <c r="I542" i="1"/>
  <c r="P541" i="1"/>
  <c r="N541" i="1"/>
  <c r="I541" i="1"/>
  <c r="P540" i="1"/>
  <c r="N540" i="1"/>
  <c r="I540" i="1"/>
  <c r="P539" i="1"/>
  <c r="N539" i="1"/>
  <c r="I539" i="1"/>
  <c r="P537" i="1"/>
  <c r="N537" i="1"/>
  <c r="I537" i="1"/>
  <c r="P536" i="1"/>
  <c r="N536" i="1"/>
  <c r="I536" i="1"/>
  <c r="P534" i="1"/>
  <c r="N534" i="1"/>
  <c r="I534" i="1"/>
  <c r="P533" i="1"/>
  <c r="N533" i="1"/>
  <c r="I533" i="1"/>
  <c r="P532" i="1"/>
  <c r="N532" i="1"/>
  <c r="I532" i="1"/>
  <c r="P531" i="1"/>
  <c r="N531" i="1"/>
  <c r="I531" i="1"/>
  <c r="P530" i="1"/>
  <c r="N530" i="1"/>
  <c r="I530" i="1"/>
  <c r="P529" i="1"/>
  <c r="N529" i="1"/>
  <c r="I529" i="1"/>
  <c r="P528" i="1"/>
  <c r="N528" i="1"/>
  <c r="I528" i="1"/>
  <c r="P527" i="1"/>
  <c r="N527" i="1"/>
  <c r="I527" i="1"/>
  <c r="P526" i="1"/>
  <c r="N526" i="1"/>
  <c r="I526" i="1"/>
  <c r="P525" i="1"/>
  <c r="N525" i="1"/>
  <c r="I525" i="1"/>
  <c r="P524" i="1"/>
  <c r="N524" i="1"/>
  <c r="I524" i="1"/>
  <c r="P523" i="1"/>
  <c r="N523" i="1"/>
  <c r="I523" i="1"/>
  <c r="N522" i="1"/>
  <c r="P521" i="1"/>
  <c r="N521" i="1"/>
  <c r="I521" i="1"/>
  <c r="P520" i="1"/>
  <c r="N520" i="1"/>
  <c r="I520" i="1"/>
  <c r="P519" i="1"/>
  <c r="P518" i="1"/>
  <c r="P517" i="1"/>
  <c r="P516" i="1"/>
  <c r="P515" i="1"/>
  <c r="P514" i="1"/>
  <c r="N491" i="1"/>
  <c r="M491" i="1"/>
  <c r="L491" i="1"/>
  <c r="K491" i="1"/>
  <c r="I491" i="1"/>
  <c r="N490" i="1"/>
  <c r="M490" i="1"/>
  <c r="L490" i="1"/>
  <c r="K490" i="1"/>
  <c r="I490" i="1"/>
  <c r="N489" i="1"/>
  <c r="K489" i="1"/>
  <c r="I489" i="1"/>
  <c r="P488" i="1"/>
  <c r="N488" i="1"/>
  <c r="K488" i="1"/>
  <c r="I488" i="1"/>
  <c r="P487" i="1"/>
  <c r="N487" i="1"/>
  <c r="K487" i="1"/>
  <c r="I487" i="1"/>
  <c r="P486" i="1"/>
  <c r="N486" i="1"/>
  <c r="K486" i="1"/>
  <c r="I486" i="1"/>
  <c r="P485" i="1"/>
  <c r="N485" i="1"/>
  <c r="K485" i="1"/>
  <c r="I485" i="1"/>
  <c r="P484" i="1"/>
  <c r="N484" i="1"/>
  <c r="L484" i="1"/>
  <c r="K484" i="1"/>
  <c r="I484" i="1"/>
  <c r="P482" i="1"/>
  <c r="N482" i="1"/>
  <c r="L482" i="1"/>
  <c r="K482" i="1"/>
  <c r="I482" i="1"/>
  <c r="P480" i="1"/>
  <c r="N480" i="1"/>
  <c r="L480" i="1"/>
  <c r="I480" i="1"/>
  <c r="P479" i="1"/>
  <c r="N479" i="1"/>
  <c r="L479" i="1"/>
  <c r="K479" i="1"/>
  <c r="I479" i="1"/>
  <c r="P478" i="1"/>
  <c r="N478" i="1"/>
  <c r="L478" i="1"/>
  <c r="K478" i="1"/>
  <c r="I478" i="1"/>
  <c r="N477" i="1"/>
  <c r="K477" i="1"/>
  <c r="P476" i="1"/>
  <c r="N476" i="1"/>
  <c r="L476" i="1"/>
  <c r="K476" i="1"/>
  <c r="I476" i="1"/>
  <c r="P475" i="1"/>
  <c r="N475" i="1"/>
  <c r="L475" i="1"/>
  <c r="K475" i="1"/>
  <c r="I475" i="1"/>
  <c r="P474" i="1"/>
  <c r="N474" i="1"/>
  <c r="L474" i="1"/>
  <c r="K474" i="1"/>
  <c r="I474" i="1"/>
  <c r="P473" i="1"/>
  <c r="N473" i="1"/>
  <c r="L473" i="1"/>
  <c r="K473" i="1"/>
  <c r="I473" i="1"/>
  <c r="P472" i="1"/>
  <c r="N472" i="1"/>
  <c r="L472" i="1"/>
  <c r="K472" i="1"/>
  <c r="I472" i="1"/>
  <c r="P470" i="1"/>
  <c r="N470" i="1"/>
  <c r="L470" i="1"/>
  <c r="K470" i="1"/>
  <c r="I470" i="1"/>
  <c r="P469" i="1"/>
  <c r="N469" i="1"/>
  <c r="L469" i="1"/>
  <c r="K469" i="1"/>
  <c r="I469" i="1"/>
  <c r="P468" i="1"/>
  <c r="N468" i="1"/>
  <c r="L468" i="1"/>
  <c r="K468" i="1"/>
  <c r="I468" i="1"/>
  <c r="P467" i="1"/>
  <c r="N467" i="1"/>
  <c r="K467" i="1"/>
  <c r="I467" i="1"/>
  <c r="P465" i="1"/>
  <c r="N465" i="1"/>
  <c r="L465" i="1"/>
  <c r="K465" i="1"/>
  <c r="I465" i="1"/>
  <c r="P464" i="1"/>
  <c r="N464" i="1"/>
  <c r="L464" i="1"/>
  <c r="K464" i="1"/>
  <c r="I464" i="1"/>
  <c r="P463" i="1"/>
  <c r="N463" i="1"/>
  <c r="L463" i="1"/>
  <c r="K463" i="1"/>
  <c r="I463" i="1"/>
  <c r="P462" i="1"/>
  <c r="N462" i="1"/>
  <c r="L462" i="1"/>
  <c r="K462" i="1"/>
  <c r="I462" i="1"/>
  <c r="P461" i="1"/>
  <c r="N461" i="1"/>
  <c r="L461" i="1"/>
  <c r="K461" i="1"/>
  <c r="I461" i="1"/>
  <c r="P460" i="1"/>
  <c r="N460" i="1"/>
  <c r="L460" i="1"/>
  <c r="K460" i="1"/>
  <c r="I460" i="1"/>
  <c r="P459" i="1"/>
  <c r="N459" i="1"/>
  <c r="L459" i="1"/>
  <c r="K459" i="1"/>
  <c r="I459" i="1"/>
  <c r="P458" i="1"/>
  <c r="N458" i="1"/>
  <c r="L458" i="1"/>
  <c r="K458" i="1"/>
  <c r="I458" i="1"/>
  <c r="P457" i="1"/>
  <c r="N457" i="1"/>
  <c r="L457" i="1"/>
  <c r="K457" i="1"/>
  <c r="I457" i="1"/>
  <c r="P456" i="1"/>
  <c r="N456" i="1"/>
  <c r="L456" i="1"/>
  <c r="K456" i="1"/>
  <c r="I456" i="1"/>
  <c r="P455" i="1"/>
  <c r="N455" i="1"/>
  <c r="L455" i="1"/>
  <c r="K455" i="1"/>
  <c r="I455" i="1"/>
  <c r="P454" i="1"/>
  <c r="N454" i="1"/>
  <c r="L454" i="1"/>
  <c r="K454" i="1"/>
  <c r="I454" i="1"/>
  <c r="P452" i="1"/>
  <c r="L452" i="1"/>
  <c r="K452" i="1"/>
  <c r="I452" i="1"/>
  <c r="P451" i="1"/>
  <c r="L451" i="1"/>
  <c r="K451" i="1"/>
  <c r="P450" i="1"/>
  <c r="L450" i="1"/>
  <c r="K450" i="1"/>
  <c r="I450" i="1"/>
  <c r="P449" i="1"/>
  <c r="L449" i="1"/>
  <c r="K449" i="1"/>
  <c r="I449" i="1"/>
  <c r="P448" i="1"/>
  <c r="L448" i="1"/>
  <c r="K448" i="1"/>
  <c r="I448" i="1"/>
  <c r="P447" i="1"/>
  <c r="L447" i="1"/>
  <c r="K447" i="1"/>
  <c r="I447" i="1"/>
  <c r="P446" i="1"/>
  <c r="L446" i="1"/>
  <c r="K446" i="1"/>
  <c r="I446" i="1"/>
  <c r="P445" i="1"/>
  <c r="L445" i="1"/>
  <c r="K445" i="1"/>
  <c r="I445" i="1"/>
  <c r="P444" i="1"/>
  <c r="L444" i="1"/>
  <c r="K444" i="1"/>
  <c r="I444" i="1"/>
  <c r="P443" i="1"/>
  <c r="L443" i="1"/>
  <c r="K443" i="1"/>
  <c r="I443" i="1"/>
  <c r="P442" i="1"/>
  <c r="L442" i="1"/>
  <c r="K442" i="1"/>
  <c r="I442" i="1"/>
  <c r="P441" i="1"/>
  <c r="L441" i="1"/>
  <c r="K441" i="1"/>
  <c r="I441" i="1"/>
  <c r="P440" i="1"/>
  <c r="N440" i="1"/>
  <c r="L440" i="1"/>
  <c r="K440" i="1"/>
  <c r="I440" i="1"/>
  <c r="P438" i="1"/>
  <c r="N438" i="1"/>
  <c r="L438" i="1"/>
  <c r="K438" i="1"/>
  <c r="I438" i="1"/>
  <c r="P437" i="1"/>
  <c r="N437" i="1"/>
  <c r="L437" i="1"/>
  <c r="K437" i="1"/>
  <c r="I437" i="1"/>
  <c r="P436" i="1"/>
  <c r="N436" i="1"/>
  <c r="L436" i="1"/>
  <c r="K436" i="1"/>
  <c r="I436" i="1"/>
  <c r="P435" i="1"/>
  <c r="N435" i="1"/>
  <c r="L435" i="1"/>
  <c r="K435" i="1"/>
  <c r="I435" i="1"/>
  <c r="P434" i="1"/>
  <c r="N434" i="1"/>
  <c r="L434" i="1"/>
  <c r="K434" i="1"/>
  <c r="I434" i="1"/>
  <c r="P433" i="1"/>
  <c r="N433" i="1"/>
  <c r="L433" i="1"/>
  <c r="K433" i="1"/>
  <c r="I433" i="1"/>
  <c r="P432" i="1"/>
  <c r="N432" i="1"/>
  <c r="L432" i="1"/>
  <c r="K432" i="1"/>
  <c r="I432" i="1"/>
  <c r="P431" i="1"/>
  <c r="N431" i="1"/>
  <c r="L431" i="1"/>
  <c r="K431" i="1"/>
  <c r="P430" i="1"/>
  <c r="N430" i="1"/>
  <c r="L430" i="1"/>
  <c r="K430" i="1"/>
  <c r="P429" i="1"/>
  <c r="N429" i="1"/>
  <c r="L429" i="1"/>
  <c r="K429" i="1"/>
  <c r="P428" i="1"/>
  <c r="N428" i="1"/>
  <c r="L428" i="1"/>
  <c r="K428" i="1"/>
  <c r="P427" i="1"/>
  <c r="N427" i="1"/>
  <c r="L427" i="1"/>
  <c r="K427" i="1"/>
  <c r="P426" i="1"/>
  <c r="N426" i="1"/>
  <c r="L426" i="1"/>
  <c r="K426" i="1"/>
  <c r="P425" i="1"/>
  <c r="N425" i="1"/>
  <c r="L425" i="1"/>
  <c r="K425" i="1"/>
  <c r="P424" i="1"/>
  <c r="N424" i="1"/>
  <c r="L424" i="1"/>
  <c r="K424" i="1"/>
  <c r="P423" i="1"/>
  <c r="N423" i="1"/>
  <c r="L423" i="1"/>
  <c r="K423" i="1"/>
  <c r="N422" i="1"/>
  <c r="L422" i="1"/>
  <c r="K422" i="1"/>
  <c r="N420" i="1"/>
  <c r="L420" i="1"/>
  <c r="N418" i="1"/>
  <c r="N417" i="1"/>
  <c r="P415" i="1"/>
  <c r="N415" i="1"/>
  <c r="I415" i="1"/>
  <c r="P414" i="1"/>
  <c r="N414" i="1"/>
  <c r="I414" i="1"/>
  <c r="P413" i="1"/>
  <c r="N413" i="1"/>
  <c r="I413" i="1"/>
  <c r="P412" i="1"/>
  <c r="N412" i="1"/>
  <c r="I412" i="1"/>
  <c r="P411" i="1"/>
  <c r="N411" i="1"/>
  <c r="I411" i="1"/>
  <c r="P410" i="1"/>
  <c r="N410" i="1"/>
  <c r="I410" i="1"/>
  <c r="P408" i="1"/>
  <c r="N408" i="1"/>
  <c r="I408" i="1"/>
  <c r="P407" i="1"/>
  <c r="N407" i="1"/>
  <c r="I407" i="1"/>
  <c r="P406" i="1"/>
  <c r="N406" i="1"/>
  <c r="I406" i="1"/>
  <c r="P405" i="1"/>
  <c r="N405" i="1"/>
  <c r="L405" i="1"/>
  <c r="I405" i="1"/>
  <c r="P403" i="1"/>
  <c r="N403" i="1"/>
  <c r="L403" i="1"/>
  <c r="K403" i="1"/>
  <c r="I403" i="1"/>
  <c r="P402" i="1"/>
  <c r="N402" i="1"/>
  <c r="L402" i="1"/>
  <c r="K402" i="1"/>
  <c r="I402" i="1"/>
  <c r="P401" i="1"/>
  <c r="N401" i="1"/>
  <c r="L401" i="1"/>
  <c r="K401" i="1"/>
  <c r="I401" i="1"/>
  <c r="P399" i="1"/>
  <c r="N399" i="1"/>
  <c r="L399" i="1"/>
  <c r="P398" i="1"/>
  <c r="N398" i="1"/>
  <c r="L398" i="1"/>
  <c r="I398" i="1"/>
  <c r="P396" i="1"/>
  <c r="N396" i="1"/>
  <c r="L396" i="1"/>
  <c r="I396" i="1"/>
  <c r="P395" i="1"/>
  <c r="N395" i="1"/>
  <c r="L395" i="1"/>
  <c r="I395" i="1"/>
  <c r="P393" i="1"/>
  <c r="N393" i="1"/>
  <c r="I393" i="1"/>
  <c r="P392" i="1"/>
  <c r="N392" i="1"/>
  <c r="L392" i="1"/>
  <c r="I392" i="1"/>
  <c r="P391" i="1"/>
  <c r="N391" i="1"/>
  <c r="L391" i="1"/>
  <c r="I391" i="1"/>
  <c r="P390" i="1"/>
  <c r="L390" i="1"/>
  <c r="I390" i="1"/>
  <c r="P389" i="1"/>
  <c r="N389" i="1"/>
  <c r="L389" i="1"/>
  <c r="I389" i="1"/>
  <c r="P388" i="1"/>
  <c r="N388" i="1"/>
  <c r="L388" i="1"/>
  <c r="I388" i="1"/>
  <c r="P387" i="1"/>
  <c r="N387" i="1"/>
  <c r="L387" i="1"/>
  <c r="I387" i="1"/>
  <c r="P386" i="1"/>
  <c r="N386" i="1"/>
  <c r="L386" i="1"/>
  <c r="I386" i="1"/>
  <c r="P385" i="1"/>
  <c r="N385" i="1"/>
  <c r="L385" i="1"/>
  <c r="K385" i="1"/>
  <c r="I385" i="1"/>
  <c r="P384" i="1"/>
  <c r="N384" i="1"/>
  <c r="L384" i="1"/>
  <c r="K384" i="1"/>
  <c r="P383" i="1"/>
  <c r="N383" i="1"/>
  <c r="L383" i="1"/>
  <c r="K383" i="1"/>
  <c r="I383" i="1"/>
  <c r="P382" i="1"/>
  <c r="N382" i="1"/>
  <c r="L382" i="1"/>
  <c r="K382" i="1"/>
  <c r="I382" i="1"/>
  <c r="P381" i="1"/>
  <c r="N381" i="1"/>
  <c r="L381" i="1"/>
  <c r="K381" i="1"/>
  <c r="I381" i="1"/>
  <c r="P380" i="1"/>
  <c r="N380" i="1"/>
  <c r="L380" i="1"/>
  <c r="K380" i="1"/>
  <c r="P379" i="1"/>
  <c r="N379" i="1"/>
  <c r="L379" i="1"/>
  <c r="K379" i="1"/>
  <c r="I379" i="1"/>
  <c r="P378" i="1"/>
  <c r="N378" i="1"/>
  <c r="M378" i="1"/>
  <c r="L378" i="1"/>
  <c r="K378" i="1"/>
  <c r="P373" i="1"/>
  <c r="N373" i="1"/>
  <c r="M373" i="1"/>
  <c r="L373" i="1"/>
  <c r="K373" i="1"/>
  <c r="I373" i="1"/>
  <c r="P372" i="1"/>
  <c r="N372" i="1"/>
  <c r="L372" i="1"/>
  <c r="K372" i="1"/>
  <c r="I372" i="1"/>
  <c r="P371" i="1"/>
  <c r="N371" i="1"/>
  <c r="L371" i="1"/>
  <c r="K371" i="1"/>
  <c r="I371" i="1"/>
  <c r="P370" i="1"/>
  <c r="N370" i="1"/>
  <c r="L370" i="1"/>
  <c r="K370" i="1"/>
  <c r="I370" i="1"/>
  <c r="P369" i="1"/>
  <c r="N369" i="1"/>
  <c r="L369" i="1"/>
  <c r="K369" i="1"/>
  <c r="I369" i="1"/>
  <c r="P368" i="1"/>
  <c r="N368" i="1"/>
  <c r="M368" i="1"/>
  <c r="L368" i="1"/>
  <c r="K368" i="1"/>
  <c r="I368" i="1"/>
  <c r="P367" i="1"/>
  <c r="N367" i="1"/>
  <c r="M367" i="1"/>
  <c r="L367" i="1"/>
  <c r="K367" i="1"/>
  <c r="I367" i="1"/>
  <c r="P366" i="1"/>
  <c r="N366" i="1"/>
  <c r="M366" i="1"/>
  <c r="L366" i="1"/>
  <c r="K366" i="1"/>
  <c r="I366" i="1"/>
  <c r="P365" i="1"/>
  <c r="N365" i="1"/>
  <c r="M365" i="1"/>
  <c r="L365" i="1"/>
  <c r="K365" i="1"/>
  <c r="I365" i="1"/>
  <c r="P364" i="1"/>
  <c r="N364" i="1"/>
  <c r="M364" i="1"/>
  <c r="L364" i="1"/>
  <c r="K364" i="1"/>
  <c r="I364" i="1"/>
  <c r="P363" i="1"/>
  <c r="N363" i="1"/>
  <c r="M363" i="1"/>
  <c r="L363" i="1"/>
  <c r="K363" i="1"/>
  <c r="I363" i="1"/>
  <c r="P362" i="1"/>
  <c r="N362" i="1"/>
  <c r="M362" i="1"/>
  <c r="L362" i="1"/>
  <c r="K362" i="1"/>
  <c r="I362" i="1"/>
  <c r="P361" i="1"/>
  <c r="N361" i="1"/>
  <c r="L361" i="1"/>
  <c r="K361" i="1"/>
  <c r="I361" i="1"/>
  <c r="P360" i="1"/>
  <c r="N360" i="1"/>
  <c r="M360" i="1"/>
  <c r="L360" i="1"/>
  <c r="K360" i="1"/>
  <c r="I360" i="1"/>
  <c r="P359" i="1"/>
  <c r="N359" i="1"/>
  <c r="M359" i="1"/>
  <c r="L359" i="1"/>
  <c r="K359" i="1"/>
  <c r="I359" i="1"/>
  <c r="P358" i="1"/>
  <c r="N358" i="1"/>
  <c r="M358" i="1"/>
  <c r="L358" i="1"/>
  <c r="K358" i="1"/>
  <c r="I358" i="1"/>
  <c r="P357" i="1"/>
  <c r="N357" i="1"/>
  <c r="M357" i="1"/>
  <c r="L357" i="1"/>
  <c r="K357" i="1"/>
  <c r="I357" i="1"/>
  <c r="P356" i="1"/>
  <c r="N356" i="1"/>
  <c r="M356" i="1"/>
  <c r="L356" i="1"/>
  <c r="K356" i="1"/>
  <c r="I356" i="1"/>
  <c r="P355" i="1"/>
  <c r="N355" i="1"/>
  <c r="M355" i="1"/>
  <c r="L355" i="1"/>
  <c r="K355" i="1"/>
  <c r="I355" i="1"/>
  <c r="P354" i="1"/>
  <c r="N354" i="1"/>
  <c r="M354" i="1"/>
  <c r="L354" i="1"/>
  <c r="K354" i="1"/>
  <c r="I354" i="1"/>
  <c r="P353" i="1"/>
  <c r="N353" i="1"/>
  <c r="M353" i="1"/>
  <c r="L353" i="1"/>
  <c r="K353" i="1"/>
  <c r="I353" i="1"/>
  <c r="P352" i="1"/>
  <c r="N352" i="1"/>
  <c r="M352" i="1"/>
  <c r="L352" i="1"/>
  <c r="K352" i="1"/>
  <c r="I352" i="1"/>
  <c r="P351" i="1"/>
  <c r="N351" i="1"/>
  <c r="M351" i="1"/>
  <c r="L351" i="1"/>
  <c r="K351" i="1"/>
  <c r="I351" i="1"/>
  <c r="P350" i="1"/>
  <c r="N350" i="1"/>
  <c r="M350" i="1"/>
  <c r="L350" i="1"/>
  <c r="K350" i="1"/>
  <c r="I350" i="1"/>
  <c r="P349" i="1"/>
  <c r="N349" i="1"/>
  <c r="M349" i="1"/>
  <c r="L349" i="1"/>
  <c r="K349" i="1"/>
  <c r="I349" i="1"/>
  <c r="P348" i="1"/>
  <c r="N348" i="1"/>
  <c r="M348" i="1"/>
  <c r="L348" i="1"/>
  <c r="K348" i="1"/>
  <c r="I348" i="1"/>
  <c r="P347" i="1"/>
  <c r="N347" i="1"/>
  <c r="M347" i="1"/>
  <c r="L347" i="1"/>
  <c r="K347" i="1"/>
  <c r="I347" i="1"/>
  <c r="P346" i="1"/>
  <c r="N346" i="1"/>
  <c r="M346" i="1"/>
  <c r="L346" i="1"/>
  <c r="K346" i="1"/>
  <c r="I346" i="1"/>
  <c r="P345" i="1"/>
  <c r="N345" i="1"/>
  <c r="M345" i="1"/>
  <c r="L345" i="1"/>
  <c r="K345" i="1"/>
  <c r="I345" i="1"/>
  <c r="P344" i="1"/>
  <c r="N344" i="1"/>
  <c r="M344" i="1"/>
  <c r="L344" i="1"/>
  <c r="K344" i="1"/>
  <c r="I344" i="1"/>
  <c r="P343" i="1"/>
  <c r="N343" i="1"/>
  <c r="M343" i="1"/>
  <c r="L343" i="1"/>
  <c r="K343" i="1"/>
  <c r="I343" i="1"/>
  <c r="P342" i="1"/>
  <c r="N342" i="1"/>
  <c r="M342" i="1"/>
  <c r="L342" i="1"/>
  <c r="K342" i="1"/>
  <c r="I342" i="1"/>
  <c r="P341" i="1"/>
  <c r="N341" i="1"/>
  <c r="M341" i="1"/>
  <c r="L341" i="1"/>
  <c r="K341" i="1"/>
  <c r="I341" i="1"/>
  <c r="P340" i="1"/>
  <c r="N340" i="1"/>
  <c r="M340" i="1"/>
  <c r="L340" i="1"/>
  <c r="K340" i="1"/>
  <c r="I340" i="1"/>
  <c r="P339" i="1"/>
  <c r="N339" i="1"/>
  <c r="M339" i="1"/>
  <c r="L339" i="1"/>
  <c r="K339" i="1"/>
  <c r="I339" i="1"/>
  <c r="P338" i="1"/>
  <c r="N338" i="1"/>
  <c r="M338" i="1"/>
  <c r="L338" i="1"/>
  <c r="K338" i="1"/>
  <c r="I338" i="1"/>
  <c r="P337" i="1"/>
  <c r="N337" i="1"/>
  <c r="M337" i="1"/>
  <c r="L337" i="1"/>
  <c r="K337" i="1"/>
  <c r="I337" i="1"/>
  <c r="P336" i="1"/>
  <c r="N336" i="1"/>
  <c r="M336" i="1"/>
  <c r="L336" i="1"/>
  <c r="K336" i="1"/>
  <c r="I336" i="1"/>
  <c r="P335" i="1"/>
  <c r="N335" i="1"/>
  <c r="M335" i="1"/>
  <c r="L335" i="1"/>
  <c r="K335" i="1"/>
  <c r="I335" i="1"/>
  <c r="P334" i="1"/>
  <c r="N334" i="1"/>
  <c r="M334" i="1"/>
  <c r="L334" i="1"/>
  <c r="K334" i="1"/>
  <c r="I334" i="1"/>
  <c r="P333" i="1"/>
  <c r="N333" i="1"/>
  <c r="M333" i="1"/>
  <c r="L333" i="1"/>
  <c r="K333" i="1"/>
  <c r="I333" i="1"/>
  <c r="P332" i="1"/>
  <c r="N332" i="1"/>
  <c r="L332" i="1"/>
  <c r="K332" i="1"/>
  <c r="I332" i="1"/>
  <c r="P331" i="1"/>
  <c r="N331" i="1"/>
  <c r="M331" i="1"/>
  <c r="L331" i="1"/>
  <c r="K331" i="1"/>
  <c r="I331" i="1"/>
  <c r="P330" i="1"/>
  <c r="N330" i="1"/>
  <c r="L330" i="1"/>
  <c r="K330" i="1"/>
  <c r="I330" i="1"/>
  <c r="P329" i="1"/>
  <c r="N329" i="1"/>
  <c r="M329" i="1"/>
  <c r="L329" i="1"/>
  <c r="K329" i="1"/>
  <c r="I329" i="1"/>
  <c r="P328" i="1"/>
  <c r="N328" i="1"/>
  <c r="L328" i="1"/>
  <c r="K328" i="1"/>
  <c r="I328" i="1"/>
  <c r="P327" i="1"/>
  <c r="N327" i="1"/>
  <c r="M327" i="1"/>
  <c r="L327" i="1"/>
  <c r="K327" i="1"/>
  <c r="I327" i="1"/>
  <c r="P326" i="1"/>
  <c r="N326" i="1"/>
  <c r="L326" i="1"/>
  <c r="K326" i="1"/>
  <c r="I326" i="1"/>
  <c r="P325" i="1"/>
  <c r="N325" i="1"/>
  <c r="L325" i="1"/>
  <c r="K325" i="1"/>
  <c r="I325" i="1"/>
  <c r="P324" i="1"/>
  <c r="N324" i="1"/>
  <c r="L324" i="1"/>
  <c r="K324" i="1"/>
  <c r="I324" i="1"/>
  <c r="P323" i="1"/>
  <c r="N323" i="1"/>
  <c r="L323" i="1"/>
  <c r="K323" i="1"/>
  <c r="I323" i="1"/>
  <c r="P322" i="1"/>
  <c r="N322" i="1"/>
  <c r="L322" i="1"/>
  <c r="K322" i="1"/>
  <c r="I322" i="1"/>
  <c r="P321" i="1"/>
  <c r="N321" i="1"/>
  <c r="L321" i="1"/>
  <c r="K321" i="1"/>
  <c r="P316" i="1"/>
  <c r="N316" i="1"/>
  <c r="P315" i="1"/>
  <c r="N315" i="1"/>
  <c r="P314" i="1"/>
  <c r="N314" i="1"/>
  <c r="P312" i="1"/>
  <c r="L312" i="1"/>
  <c r="K312" i="1"/>
  <c r="P311" i="1"/>
  <c r="N311" i="1"/>
  <c r="L311" i="1"/>
  <c r="K311" i="1"/>
  <c r="I311" i="1"/>
  <c r="P310" i="1"/>
  <c r="N310" i="1"/>
  <c r="L310" i="1"/>
  <c r="K310" i="1"/>
  <c r="I310" i="1"/>
  <c r="P309" i="1"/>
  <c r="N309" i="1"/>
  <c r="L309" i="1"/>
  <c r="K309" i="1"/>
  <c r="I309" i="1"/>
  <c r="P308" i="1"/>
  <c r="N308" i="1"/>
  <c r="L308" i="1"/>
  <c r="K308" i="1"/>
  <c r="I308" i="1"/>
  <c r="P307" i="1"/>
  <c r="N307" i="1"/>
  <c r="L307" i="1"/>
  <c r="K307" i="1"/>
  <c r="I307" i="1"/>
  <c r="P306" i="1"/>
  <c r="N306" i="1"/>
  <c r="L306" i="1"/>
  <c r="K306" i="1"/>
  <c r="I306" i="1"/>
  <c r="P305" i="1"/>
  <c r="N305" i="1"/>
  <c r="L305" i="1"/>
  <c r="K305" i="1"/>
  <c r="I305" i="1"/>
  <c r="P304" i="1"/>
  <c r="N304" i="1"/>
  <c r="L304" i="1"/>
  <c r="K304" i="1"/>
  <c r="I304" i="1"/>
  <c r="P303" i="1"/>
  <c r="N303" i="1"/>
  <c r="L303" i="1"/>
  <c r="K303" i="1"/>
  <c r="I303" i="1"/>
  <c r="P302" i="1"/>
  <c r="N302" i="1"/>
  <c r="L302" i="1"/>
  <c r="K302" i="1"/>
  <c r="I302" i="1"/>
  <c r="P301" i="1"/>
  <c r="N301" i="1"/>
  <c r="L301" i="1"/>
  <c r="K301" i="1"/>
  <c r="I301" i="1"/>
  <c r="P300" i="1"/>
  <c r="N300" i="1"/>
  <c r="L300" i="1"/>
  <c r="K300" i="1"/>
  <c r="I300" i="1"/>
  <c r="P299" i="1"/>
  <c r="N299" i="1"/>
  <c r="L299" i="1"/>
  <c r="K299" i="1"/>
  <c r="I299" i="1"/>
  <c r="P298" i="1"/>
  <c r="N298" i="1"/>
  <c r="M298" i="1"/>
  <c r="L298" i="1"/>
  <c r="K298" i="1"/>
  <c r="I298" i="1"/>
  <c r="P297" i="1"/>
  <c r="N297" i="1"/>
  <c r="M297" i="1"/>
  <c r="L297" i="1"/>
  <c r="K297" i="1"/>
  <c r="I297" i="1"/>
  <c r="P296" i="1"/>
  <c r="N296" i="1"/>
  <c r="L296" i="1"/>
  <c r="K296" i="1"/>
  <c r="P291" i="1"/>
  <c r="N291" i="1"/>
  <c r="M291" i="1"/>
  <c r="L291" i="1"/>
  <c r="K291" i="1"/>
  <c r="I291" i="1"/>
  <c r="P290" i="1"/>
  <c r="N290" i="1"/>
  <c r="L290" i="1"/>
  <c r="K290" i="1"/>
  <c r="I290" i="1"/>
  <c r="P289" i="1"/>
  <c r="N289" i="1"/>
  <c r="L289" i="1"/>
  <c r="K289" i="1"/>
  <c r="I289" i="1"/>
  <c r="P288" i="1"/>
  <c r="N288" i="1"/>
  <c r="L288" i="1"/>
  <c r="K288" i="1"/>
  <c r="I288" i="1"/>
  <c r="P286" i="1"/>
  <c r="N286" i="1"/>
  <c r="L286" i="1"/>
  <c r="I286" i="1"/>
  <c r="P285" i="1"/>
  <c r="N285" i="1"/>
  <c r="L285" i="1"/>
  <c r="K285" i="1"/>
  <c r="I285" i="1"/>
  <c r="P283" i="1"/>
  <c r="N283" i="1"/>
  <c r="L283" i="1"/>
  <c r="K283" i="1"/>
  <c r="I283" i="1"/>
  <c r="P282" i="1"/>
  <c r="N282" i="1"/>
  <c r="L282" i="1"/>
  <c r="K282" i="1"/>
  <c r="I282" i="1"/>
  <c r="P281" i="1"/>
  <c r="N281" i="1"/>
  <c r="L281" i="1"/>
  <c r="K281" i="1"/>
  <c r="I281" i="1"/>
  <c r="P280" i="1"/>
  <c r="N280" i="1"/>
  <c r="L280" i="1"/>
  <c r="K280" i="1"/>
  <c r="I280" i="1"/>
  <c r="P279" i="1"/>
  <c r="N279" i="1"/>
  <c r="M279" i="1"/>
  <c r="L279" i="1"/>
  <c r="K279" i="1"/>
  <c r="I279" i="1"/>
  <c r="P278" i="1"/>
  <c r="N278" i="1"/>
  <c r="M278" i="1"/>
  <c r="L278" i="1"/>
  <c r="K278" i="1"/>
  <c r="P273" i="1"/>
  <c r="N273" i="1"/>
  <c r="L273" i="1"/>
  <c r="K273" i="1"/>
  <c r="I273" i="1"/>
  <c r="P272" i="1"/>
  <c r="N272" i="1"/>
  <c r="L272" i="1"/>
  <c r="K272" i="1"/>
  <c r="I272" i="1"/>
  <c r="P269" i="1"/>
  <c r="N269" i="1"/>
  <c r="L269" i="1"/>
  <c r="K269" i="1"/>
  <c r="I269" i="1"/>
  <c r="P268" i="1"/>
  <c r="N268" i="1"/>
  <c r="L268" i="1"/>
  <c r="K268" i="1"/>
  <c r="I268" i="1"/>
  <c r="P267" i="1"/>
  <c r="N267" i="1"/>
  <c r="L267" i="1"/>
  <c r="K267" i="1"/>
  <c r="I267" i="1"/>
  <c r="P266" i="1"/>
  <c r="N266" i="1"/>
  <c r="L266" i="1"/>
  <c r="K266" i="1"/>
  <c r="I266" i="1"/>
  <c r="P265" i="1"/>
  <c r="N265" i="1"/>
  <c r="L265" i="1"/>
  <c r="I265" i="1"/>
  <c r="N263" i="1"/>
  <c r="L263" i="1"/>
  <c r="I263" i="1"/>
  <c r="N262" i="1"/>
  <c r="L262" i="1"/>
  <c r="I262" i="1"/>
  <c r="N261" i="1"/>
  <c r="L261" i="1"/>
  <c r="K261" i="1"/>
  <c r="I261" i="1"/>
  <c r="P260" i="1"/>
  <c r="N260" i="1"/>
  <c r="L260" i="1"/>
  <c r="K260" i="1"/>
  <c r="I260" i="1"/>
  <c r="P259" i="1"/>
  <c r="N259" i="1"/>
  <c r="L259" i="1"/>
  <c r="K259" i="1"/>
  <c r="I259" i="1"/>
  <c r="P258" i="1"/>
  <c r="N258" i="1"/>
  <c r="M258" i="1"/>
  <c r="L258" i="1"/>
  <c r="I258" i="1"/>
  <c r="P257" i="1"/>
  <c r="N257" i="1"/>
  <c r="M257" i="1"/>
  <c r="L257" i="1"/>
  <c r="I257" i="1"/>
  <c r="P256" i="1"/>
  <c r="N256" i="1"/>
  <c r="M256" i="1"/>
  <c r="L256" i="1"/>
  <c r="K256" i="1"/>
  <c r="P71" i="1"/>
  <c r="N71" i="1"/>
  <c r="M71" i="1"/>
  <c r="L71" i="1"/>
  <c r="K71" i="1"/>
  <c r="I71" i="1"/>
  <c r="P70" i="1"/>
  <c r="N70" i="1"/>
  <c r="M70" i="1"/>
  <c r="L70" i="1"/>
  <c r="K70" i="1"/>
  <c r="I70" i="1"/>
  <c r="P69" i="1"/>
  <c r="N69" i="1"/>
  <c r="M69" i="1"/>
  <c r="L69" i="1"/>
  <c r="K69" i="1"/>
  <c r="I69" i="1"/>
  <c r="P68" i="1"/>
  <c r="N68" i="1"/>
  <c r="M68" i="1"/>
  <c r="L68" i="1"/>
  <c r="K68" i="1"/>
  <c r="I68" i="1"/>
  <c r="P67" i="1"/>
  <c r="N67" i="1"/>
  <c r="M67" i="1"/>
  <c r="L67" i="1"/>
  <c r="K67" i="1"/>
  <c r="I67" i="1"/>
  <c r="P66" i="1"/>
  <c r="N66" i="1"/>
  <c r="M66" i="1"/>
  <c r="L66" i="1"/>
  <c r="K66" i="1"/>
  <c r="I66" i="1"/>
  <c r="P65" i="1"/>
  <c r="N65" i="1"/>
  <c r="M65" i="1"/>
  <c r="L65" i="1"/>
  <c r="K65" i="1"/>
  <c r="I65" i="1"/>
  <c r="P64" i="1"/>
  <c r="N64" i="1"/>
  <c r="M64" i="1"/>
  <c r="L64" i="1"/>
  <c r="K64" i="1"/>
  <c r="I64" i="1"/>
  <c r="P63" i="1"/>
  <c r="N63" i="1"/>
  <c r="M63" i="1"/>
  <c r="L63" i="1"/>
  <c r="K63" i="1"/>
  <c r="I63" i="1"/>
  <c r="P62" i="1"/>
  <c r="N62" i="1"/>
  <c r="M62" i="1"/>
  <c r="L62" i="1"/>
  <c r="K62" i="1"/>
  <c r="I62" i="1"/>
  <c r="P61" i="1"/>
  <c r="N61" i="1"/>
  <c r="M61" i="1"/>
  <c r="L61" i="1"/>
  <c r="K61" i="1"/>
  <c r="I61" i="1"/>
  <c r="P60" i="1"/>
  <c r="N60" i="1"/>
  <c r="M60" i="1"/>
  <c r="L60" i="1"/>
  <c r="K60" i="1"/>
  <c r="I60" i="1"/>
  <c r="P59" i="1"/>
  <c r="N59" i="1"/>
  <c r="M59" i="1"/>
  <c r="L59" i="1"/>
  <c r="K59" i="1"/>
  <c r="I59" i="1"/>
  <c r="P58" i="1"/>
  <c r="N58" i="1"/>
  <c r="M58" i="1"/>
  <c r="L58" i="1"/>
  <c r="K58" i="1"/>
  <c r="I58" i="1"/>
  <c r="P251" i="1"/>
  <c r="N251" i="1"/>
  <c r="M251" i="1"/>
  <c r="L251" i="1"/>
  <c r="K251" i="1"/>
  <c r="I251" i="1"/>
  <c r="P250" i="1"/>
  <c r="N250" i="1"/>
  <c r="M250" i="1"/>
  <c r="L250" i="1"/>
  <c r="K250" i="1"/>
  <c r="I250" i="1"/>
  <c r="P249" i="1"/>
  <c r="N249" i="1"/>
  <c r="M249" i="1"/>
  <c r="L249" i="1"/>
  <c r="K249" i="1"/>
  <c r="I249" i="1"/>
  <c r="P248" i="1"/>
  <c r="L248" i="1"/>
  <c r="K248" i="1"/>
  <c r="I248" i="1"/>
  <c r="P247" i="1"/>
  <c r="N247" i="1"/>
  <c r="L247" i="1"/>
  <c r="K247" i="1"/>
  <c r="I247" i="1"/>
  <c r="P246" i="1"/>
  <c r="L246" i="1"/>
  <c r="K246" i="1"/>
  <c r="I246" i="1"/>
  <c r="P245" i="1"/>
  <c r="N245" i="1"/>
  <c r="L245" i="1"/>
  <c r="K245" i="1"/>
  <c r="I245" i="1"/>
  <c r="P244" i="1"/>
  <c r="N244" i="1"/>
  <c r="L244" i="1"/>
  <c r="K244" i="1"/>
  <c r="I244" i="1"/>
  <c r="P243" i="1"/>
  <c r="N243" i="1"/>
  <c r="L243" i="1"/>
  <c r="K243" i="1"/>
  <c r="I243" i="1"/>
  <c r="P242" i="1"/>
  <c r="N242" i="1"/>
  <c r="L242" i="1"/>
  <c r="K242" i="1"/>
  <c r="I242" i="1"/>
  <c r="P241" i="1"/>
  <c r="N241" i="1"/>
  <c r="L241" i="1"/>
  <c r="K241" i="1"/>
  <c r="I241" i="1"/>
  <c r="P240" i="1"/>
  <c r="N240" i="1"/>
  <c r="L240" i="1"/>
  <c r="K240" i="1"/>
  <c r="I240" i="1"/>
  <c r="P239" i="1"/>
  <c r="N239" i="1"/>
  <c r="L239" i="1"/>
  <c r="K239" i="1"/>
  <c r="I239" i="1"/>
  <c r="P238" i="1"/>
  <c r="N238" i="1"/>
  <c r="L238" i="1"/>
  <c r="K238" i="1"/>
  <c r="I238" i="1"/>
  <c r="P237" i="1"/>
  <c r="N237" i="1"/>
  <c r="L237" i="1"/>
  <c r="K237" i="1"/>
  <c r="I237" i="1"/>
  <c r="P235" i="1"/>
  <c r="N235" i="1"/>
  <c r="L235" i="1"/>
  <c r="I235" i="1"/>
  <c r="P234" i="1"/>
  <c r="N234" i="1"/>
  <c r="L234" i="1"/>
  <c r="K234" i="1"/>
  <c r="I234" i="1"/>
  <c r="P233" i="1"/>
  <c r="N233" i="1"/>
  <c r="L233" i="1"/>
  <c r="K233" i="1"/>
  <c r="I233" i="1"/>
  <c r="P232" i="1"/>
  <c r="N232" i="1"/>
  <c r="L232" i="1"/>
  <c r="K232" i="1"/>
  <c r="I232" i="1"/>
  <c r="P231" i="1"/>
  <c r="N231" i="1"/>
  <c r="L231" i="1"/>
  <c r="K231" i="1"/>
  <c r="I231" i="1"/>
  <c r="P230" i="1"/>
  <c r="N230" i="1"/>
  <c r="L230" i="1"/>
  <c r="K230" i="1"/>
  <c r="I230" i="1"/>
  <c r="P229" i="1"/>
  <c r="N229" i="1"/>
  <c r="L229" i="1"/>
  <c r="K229" i="1"/>
  <c r="I229" i="1"/>
  <c r="P228" i="1"/>
  <c r="N228" i="1"/>
  <c r="L228" i="1"/>
  <c r="K228" i="1"/>
  <c r="I228" i="1"/>
  <c r="P227" i="1"/>
  <c r="N227" i="1"/>
  <c r="L227" i="1"/>
  <c r="K227" i="1"/>
  <c r="I227" i="1"/>
  <c r="P226" i="1"/>
  <c r="N226" i="1"/>
  <c r="L226" i="1"/>
  <c r="K226" i="1"/>
  <c r="I226" i="1"/>
  <c r="P225" i="1"/>
  <c r="N225" i="1"/>
  <c r="L225" i="1"/>
  <c r="K225" i="1"/>
  <c r="I225" i="1"/>
  <c r="P224" i="1"/>
  <c r="N224" i="1"/>
  <c r="L224" i="1"/>
  <c r="K224" i="1"/>
  <c r="I224" i="1"/>
  <c r="P223" i="1"/>
  <c r="N223" i="1"/>
  <c r="L223" i="1"/>
  <c r="K223" i="1"/>
  <c r="I223" i="1"/>
  <c r="P222" i="1"/>
  <c r="N222" i="1"/>
  <c r="L222" i="1"/>
  <c r="K222" i="1"/>
  <c r="I222" i="1"/>
  <c r="P221" i="1"/>
  <c r="N221" i="1"/>
  <c r="L221" i="1"/>
  <c r="K221" i="1"/>
  <c r="I221" i="1"/>
  <c r="P220" i="1"/>
  <c r="N220" i="1"/>
  <c r="L220" i="1"/>
  <c r="K220" i="1"/>
  <c r="I220" i="1"/>
  <c r="P219" i="1"/>
  <c r="N219" i="1"/>
  <c r="L219" i="1"/>
  <c r="K219" i="1"/>
  <c r="I219" i="1"/>
  <c r="P218" i="1"/>
  <c r="N218" i="1"/>
  <c r="L218" i="1"/>
  <c r="K218" i="1"/>
  <c r="I218" i="1"/>
  <c r="P217" i="1"/>
  <c r="N217" i="1"/>
  <c r="L217" i="1"/>
  <c r="K217" i="1"/>
  <c r="I217" i="1"/>
  <c r="P216" i="1"/>
  <c r="N216" i="1"/>
  <c r="L216" i="1"/>
  <c r="K216" i="1"/>
  <c r="I216" i="1"/>
  <c r="P215" i="1"/>
  <c r="N215" i="1"/>
  <c r="L215" i="1"/>
  <c r="K215" i="1"/>
  <c r="I215" i="1"/>
  <c r="P214" i="1"/>
  <c r="N214" i="1"/>
  <c r="L214" i="1"/>
  <c r="K214" i="1"/>
  <c r="I214" i="1"/>
  <c r="P213" i="1"/>
  <c r="N213" i="1"/>
  <c r="L213" i="1"/>
  <c r="K213" i="1"/>
  <c r="I213" i="1"/>
  <c r="P212" i="1"/>
  <c r="N212" i="1"/>
  <c r="L212" i="1"/>
  <c r="K212" i="1"/>
  <c r="I212" i="1"/>
  <c r="P211" i="1"/>
  <c r="N211" i="1"/>
  <c r="L211" i="1"/>
  <c r="K211" i="1"/>
  <c r="I211" i="1"/>
  <c r="P210" i="1"/>
  <c r="N210" i="1"/>
  <c r="L210" i="1"/>
  <c r="K210" i="1"/>
  <c r="I210" i="1"/>
  <c r="P209" i="1"/>
  <c r="N209" i="1"/>
  <c r="L209" i="1"/>
  <c r="K209" i="1"/>
  <c r="I209" i="1"/>
  <c r="P208" i="1"/>
  <c r="N208" i="1"/>
  <c r="L208" i="1"/>
  <c r="K208" i="1"/>
  <c r="I208" i="1"/>
  <c r="P207" i="1"/>
  <c r="N207" i="1"/>
  <c r="L207" i="1"/>
  <c r="K207" i="1"/>
  <c r="I207" i="1"/>
  <c r="P206" i="1"/>
  <c r="N206" i="1"/>
  <c r="L206" i="1"/>
  <c r="K206" i="1"/>
  <c r="I206" i="1"/>
  <c r="P205" i="1"/>
  <c r="N205" i="1"/>
  <c r="L205" i="1"/>
  <c r="K205" i="1"/>
  <c r="I205" i="1"/>
  <c r="P204" i="1"/>
  <c r="N204" i="1"/>
  <c r="L204" i="1"/>
  <c r="K204" i="1"/>
  <c r="I204" i="1"/>
  <c r="P203" i="1"/>
  <c r="N203" i="1"/>
  <c r="L203" i="1"/>
  <c r="K203" i="1"/>
  <c r="I203" i="1"/>
  <c r="P202" i="1"/>
  <c r="L202" i="1"/>
  <c r="K202" i="1"/>
  <c r="I202" i="1"/>
  <c r="P201" i="1"/>
  <c r="N201" i="1"/>
  <c r="L201" i="1"/>
  <c r="K201" i="1"/>
  <c r="I201" i="1"/>
  <c r="P200" i="1"/>
  <c r="N200" i="1"/>
  <c r="L200" i="1"/>
  <c r="K200" i="1"/>
  <c r="I200" i="1"/>
  <c r="P199" i="1"/>
  <c r="N199" i="1"/>
  <c r="L199" i="1"/>
  <c r="K199" i="1"/>
  <c r="I199" i="1"/>
  <c r="P198" i="1"/>
  <c r="N198" i="1"/>
  <c r="L198" i="1"/>
  <c r="K198" i="1"/>
  <c r="I198" i="1"/>
  <c r="P197" i="1"/>
  <c r="N197" i="1"/>
  <c r="L197" i="1"/>
  <c r="K197" i="1"/>
  <c r="I197" i="1"/>
  <c r="P196" i="1"/>
  <c r="N196" i="1"/>
  <c r="L196" i="1"/>
  <c r="K196" i="1"/>
  <c r="I196" i="1"/>
  <c r="P195" i="1"/>
  <c r="N195" i="1"/>
  <c r="L195" i="1"/>
  <c r="K195" i="1"/>
  <c r="I195" i="1"/>
  <c r="P194" i="1"/>
  <c r="N194" i="1"/>
  <c r="L194" i="1"/>
  <c r="K194" i="1"/>
  <c r="I194" i="1"/>
  <c r="P193" i="1"/>
  <c r="N193" i="1"/>
  <c r="L193" i="1"/>
  <c r="K193" i="1"/>
  <c r="I193" i="1"/>
  <c r="P192" i="1"/>
  <c r="N192" i="1"/>
  <c r="L192" i="1"/>
  <c r="K192" i="1"/>
  <c r="I192" i="1"/>
  <c r="P191" i="1"/>
  <c r="N191" i="1"/>
  <c r="L191" i="1"/>
  <c r="K191" i="1"/>
  <c r="I191" i="1"/>
  <c r="P190" i="1"/>
  <c r="N190" i="1"/>
  <c r="L190" i="1"/>
  <c r="K190" i="1"/>
  <c r="I190" i="1"/>
  <c r="P189" i="1"/>
  <c r="N189" i="1"/>
  <c r="L189" i="1"/>
  <c r="K189" i="1"/>
  <c r="I189" i="1"/>
  <c r="P188" i="1"/>
  <c r="N188" i="1"/>
  <c r="L188" i="1"/>
  <c r="K188" i="1"/>
  <c r="I188" i="1"/>
  <c r="P187" i="1"/>
  <c r="N187" i="1"/>
  <c r="L187" i="1"/>
  <c r="K187" i="1"/>
  <c r="I187" i="1"/>
  <c r="P186" i="1"/>
  <c r="N186" i="1"/>
  <c r="L186" i="1"/>
  <c r="K186" i="1"/>
  <c r="I186" i="1"/>
  <c r="P185" i="1"/>
  <c r="N185" i="1"/>
  <c r="L185" i="1"/>
  <c r="K185" i="1"/>
  <c r="I185" i="1"/>
  <c r="P184" i="1"/>
  <c r="L184" i="1"/>
  <c r="K184" i="1"/>
  <c r="I184" i="1"/>
  <c r="P183" i="1"/>
  <c r="L183" i="1"/>
  <c r="K183" i="1"/>
  <c r="I183" i="1"/>
  <c r="P182" i="1"/>
  <c r="N182" i="1"/>
  <c r="L182" i="1"/>
  <c r="K182" i="1"/>
  <c r="I182" i="1"/>
  <c r="P181" i="1"/>
  <c r="N181" i="1"/>
  <c r="L181" i="1"/>
  <c r="K181" i="1"/>
  <c r="I181" i="1"/>
  <c r="P180" i="1"/>
  <c r="N180" i="1"/>
  <c r="L180" i="1"/>
  <c r="K180" i="1"/>
  <c r="I180" i="1"/>
  <c r="P179" i="1"/>
  <c r="N179" i="1"/>
  <c r="L179" i="1"/>
  <c r="K179" i="1"/>
  <c r="I179" i="1"/>
  <c r="P178" i="1"/>
  <c r="N178" i="1"/>
  <c r="L178" i="1"/>
  <c r="K178" i="1"/>
  <c r="I178" i="1"/>
  <c r="P177" i="1"/>
  <c r="N177" i="1"/>
  <c r="L177" i="1"/>
  <c r="K177" i="1"/>
  <c r="I177" i="1"/>
  <c r="P176" i="1"/>
  <c r="N176" i="1"/>
  <c r="L176" i="1"/>
  <c r="K176" i="1"/>
  <c r="I176" i="1"/>
  <c r="P175" i="1"/>
  <c r="N175" i="1"/>
  <c r="L175" i="1"/>
  <c r="K175" i="1"/>
  <c r="I175" i="1"/>
  <c r="P174" i="1"/>
  <c r="N174" i="1"/>
  <c r="L174" i="1"/>
  <c r="K174" i="1"/>
  <c r="I174" i="1"/>
  <c r="P173" i="1"/>
  <c r="N173" i="1"/>
  <c r="L173" i="1"/>
  <c r="K173" i="1"/>
  <c r="I173" i="1"/>
  <c r="P172" i="1"/>
  <c r="N172" i="1"/>
  <c r="L172" i="1"/>
  <c r="K172" i="1"/>
  <c r="I172" i="1"/>
  <c r="P171" i="1"/>
  <c r="N171" i="1"/>
  <c r="L171" i="1"/>
  <c r="K171" i="1"/>
  <c r="I171" i="1"/>
  <c r="P170" i="1"/>
  <c r="N170" i="1"/>
  <c r="L170" i="1"/>
  <c r="K170" i="1"/>
  <c r="I170" i="1"/>
  <c r="P169" i="1"/>
  <c r="N169" i="1"/>
  <c r="L169" i="1"/>
  <c r="K169" i="1"/>
  <c r="I169" i="1"/>
  <c r="P168" i="1"/>
  <c r="N168" i="1"/>
  <c r="L168" i="1"/>
  <c r="K168" i="1"/>
  <c r="I168" i="1"/>
  <c r="P167" i="1"/>
  <c r="N167" i="1"/>
  <c r="L167" i="1"/>
  <c r="K167" i="1"/>
  <c r="I167" i="1"/>
  <c r="P166" i="1"/>
  <c r="N166" i="1"/>
  <c r="L166" i="1"/>
  <c r="K166" i="1"/>
  <c r="I166" i="1"/>
  <c r="P165" i="1"/>
  <c r="N165" i="1"/>
  <c r="L165" i="1"/>
  <c r="K165" i="1"/>
  <c r="I165" i="1"/>
  <c r="P164" i="1"/>
  <c r="N164" i="1"/>
  <c r="L164" i="1"/>
  <c r="K164" i="1"/>
  <c r="I164" i="1"/>
  <c r="P163" i="1"/>
  <c r="N163" i="1"/>
  <c r="L163" i="1"/>
  <c r="K163" i="1"/>
  <c r="I163" i="1"/>
  <c r="P162" i="1"/>
  <c r="N162" i="1"/>
  <c r="L162" i="1"/>
  <c r="K162" i="1"/>
  <c r="I162" i="1"/>
  <c r="P161" i="1"/>
  <c r="L161" i="1"/>
  <c r="K161" i="1"/>
  <c r="I161" i="1"/>
  <c r="P160" i="1"/>
  <c r="N160" i="1"/>
  <c r="L160" i="1"/>
  <c r="K160" i="1"/>
  <c r="I160" i="1"/>
  <c r="P159" i="1"/>
  <c r="N159" i="1"/>
  <c r="L159" i="1"/>
  <c r="K159" i="1"/>
  <c r="I159" i="1"/>
  <c r="P158" i="1"/>
  <c r="N158" i="1"/>
  <c r="L158" i="1"/>
  <c r="K158" i="1"/>
  <c r="I158" i="1"/>
  <c r="P157" i="1"/>
  <c r="N157" i="1"/>
  <c r="L157" i="1"/>
  <c r="K157" i="1"/>
  <c r="I157" i="1"/>
  <c r="P156" i="1"/>
  <c r="N156" i="1"/>
  <c r="L156" i="1"/>
  <c r="K156" i="1"/>
  <c r="I156" i="1"/>
  <c r="P155" i="1"/>
  <c r="N155" i="1"/>
  <c r="L155" i="1"/>
  <c r="K155" i="1"/>
  <c r="I155" i="1"/>
  <c r="P154" i="1"/>
  <c r="N154" i="1"/>
  <c r="L154" i="1"/>
  <c r="K154" i="1"/>
  <c r="I154" i="1"/>
  <c r="P153" i="1"/>
  <c r="N153" i="1"/>
  <c r="L153" i="1"/>
  <c r="K153" i="1"/>
  <c r="I153" i="1"/>
  <c r="P152" i="1"/>
  <c r="N152" i="1"/>
  <c r="L152" i="1"/>
  <c r="K152" i="1"/>
  <c r="I152" i="1"/>
  <c r="P151" i="1"/>
  <c r="N151" i="1"/>
  <c r="L151" i="1"/>
  <c r="K151" i="1"/>
  <c r="I151" i="1"/>
  <c r="P150" i="1"/>
  <c r="N150" i="1"/>
  <c r="L150" i="1"/>
  <c r="K150" i="1"/>
  <c r="I150" i="1"/>
  <c r="P149" i="1"/>
  <c r="N149" i="1"/>
  <c r="L149" i="1"/>
  <c r="K149" i="1"/>
  <c r="I149" i="1"/>
  <c r="P148" i="1"/>
  <c r="N148" i="1"/>
  <c r="L148" i="1"/>
  <c r="K148" i="1"/>
  <c r="I148" i="1"/>
  <c r="P147" i="1"/>
  <c r="N147" i="1"/>
  <c r="L147" i="1"/>
  <c r="K147" i="1"/>
  <c r="I147" i="1"/>
  <c r="P146" i="1"/>
  <c r="N146" i="1"/>
  <c r="L146" i="1"/>
  <c r="K146" i="1"/>
  <c r="I146" i="1"/>
  <c r="P145" i="1"/>
  <c r="N145" i="1"/>
  <c r="L145" i="1"/>
  <c r="K145" i="1"/>
  <c r="I145" i="1"/>
  <c r="P144" i="1"/>
  <c r="N144" i="1"/>
  <c r="L144" i="1"/>
  <c r="K144" i="1"/>
  <c r="I144" i="1"/>
  <c r="P143" i="1"/>
  <c r="N143" i="1"/>
  <c r="L143" i="1"/>
  <c r="K143" i="1"/>
  <c r="I143" i="1"/>
  <c r="P142" i="1"/>
  <c r="N142" i="1"/>
  <c r="L142" i="1"/>
  <c r="K142" i="1"/>
  <c r="I142" i="1"/>
  <c r="P141" i="1"/>
  <c r="N141" i="1"/>
  <c r="L141" i="1"/>
  <c r="K141" i="1"/>
  <c r="I141" i="1"/>
  <c r="P139" i="1"/>
  <c r="N139" i="1"/>
  <c r="L139" i="1"/>
  <c r="K139" i="1"/>
  <c r="I139" i="1"/>
  <c r="P138" i="1"/>
  <c r="N138" i="1"/>
  <c r="L138" i="1"/>
  <c r="K138" i="1"/>
  <c r="I138" i="1"/>
  <c r="P137" i="1"/>
  <c r="N137" i="1"/>
  <c r="L137" i="1"/>
  <c r="K137" i="1"/>
  <c r="I137" i="1"/>
  <c r="P136" i="1"/>
  <c r="N136" i="1"/>
  <c r="L136" i="1"/>
  <c r="K136" i="1"/>
  <c r="I136" i="1"/>
  <c r="P135" i="1"/>
  <c r="N135" i="1"/>
  <c r="L135" i="1"/>
  <c r="K135" i="1"/>
  <c r="I135" i="1"/>
  <c r="P134" i="1"/>
  <c r="N134" i="1"/>
  <c r="L134" i="1"/>
  <c r="K134" i="1"/>
  <c r="I134" i="1"/>
  <c r="P133" i="1"/>
  <c r="N133" i="1"/>
  <c r="L133" i="1"/>
  <c r="K133" i="1"/>
  <c r="I133" i="1"/>
  <c r="P132" i="1"/>
  <c r="N132" i="1"/>
  <c r="L132" i="1"/>
  <c r="K132" i="1"/>
  <c r="I132" i="1"/>
  <c r="P131" i="1"/>
  <c r="N131" i="1"/>
  <c r="L131" i="1"/>
  <c r="K131" i="1"/>
  <c r="I131" i="1"/>
  <c r="P130" i="1"/>
  <c r="N130" i="1"/>
  <c r="L130" i="1"/>
  <c r="K130" i="1"/>
  <c r="I130" i="1"/>
  <c r="P129" i="1"/>
  <c r="N129" i="1"/>
  <c r="L129" i="1"/>
  <c r="K129" i="1"/>
  <c r="I129" i="1"/>
  <c r="P128" i="1"/>
  <c r="N128" i="1"/>
  <c r="L128" i="1"/>
  <c r="K128" i="1"/>
  <c r="I128" i="1"/>
  <c r="P127" i="1"/>
  <c r="L127" i="1"/>
  <c r="K127" i="1"/>
  <c r="I127" i="1"/>
  <c r="P126" i="1"/>
  <c r="N126" i="1"/>
  <c r="L126" i="1"/>
  <c r="K126" i="1"/>
  <c r="I126" i="1"/>
  <c r="P125" i="1"/>
  <c r="N125" i="1"/>
  <c r="L125" i="1"/>
  <c r="K125" i="1"/>
  <c r="I125" i="1"/>
  <c r="P124" i="1"/>
  <c r="N124" i="1"/>
  <c r="L124" i="1"/>
  <c r="K124" i="1"/>
  <c r="I124" i="1"/>
  <c r="P123" i="1"/>
  <c r="N123" i="1"/>
  <c r="L123" i="1"/>
  <c r="K123" i="1"/>
  <c r="I123" i="1"/>
  <c r="P122" i="1"/>
  <c r="N122" i="1"/>
  <c r="L122" i="1"/>
  <c r="K122" i="1"/>
  <c r="I122" i="1"/>
  <c r="P121" i="1"/>
  <c r="N121" i="1"/>
  <c r="L121" i="1"/>
  <c r="K121" i="1"/>
  <c r="I121" i="1"/>
  <c r="P120" i="1"/>
  <c r="N120" i="1"/>
  <c r="L120" i="1"/>
  <c r="K120" i="1"/>
  <c r="I120" i="1"/>
  <c r="P119" i="1"/>
  <c r="N119" i="1"/>
  <c r="L119" i="1"/>
  <c r="K119" i="1"/>
  <c r="I119" i="1"/>
  <c r="P118" i="1"/>
  <c r="N118" i="1"/>
  <c r="L118" i="1"/>
  <c r="K118" i="1"/>
  <c r="I118" i="1"/>
  <c r="P117" i="1"/>
  <c r="N117" i="1"/>
  <c r="L117" i="1"/>
  <c r="K117" i="1"/>
  <c r="I117" i="1"/>
  <c r="P116" i="1"/>
  <c r="N116" i="1"/>
  <c r="L116" i="1"/>
  <c r="K116" i="1"/>
  <c r="I116" i="1"/>
  <c r="P114" i="1"/>
  <c r="N114" i="1"/>
  <c r="L114" i="1"/>
  <c r="I114" i="1"/>
  <c r="P113" i="1"/>
  <c r="N113" i="1"/>
  <c r="L113" i="1"/>
  <c r="I113" i="1"/>
  <c r="P112" i="1"/>
  <c r="N112" i="1"/>
  <c r="L112" i="1"/>
  <c r="I112" i="1"/>
  <c r="P111" i="1"/>
  <c r="N111" i="1"/>
  <c r="L111" i="1"/>
  <c r="I111" i="1"/>
  <c r="P110" i="1"/>
  <c r="N110" i="1"/>
  <c r="L110" i="1"/>
  <c r="I110" i="1"/>
  <c r="P109" i="1"/>
  <c r="N109" i="1"/>
  <c r="L109" i="1"/>
  <c r="I109" i="1"/>
  <c r="P107" i="1"/>
  <c r="N107" i="1"/>
  <c r="L107" i="1"/>
  <c r="I107" i="1"/>
  <c r="P105" i="1"/>
  <c r="N105" i="1"/>
  <c r="I105" i="1"/>
  <c r="P104" i="1"/>
  <c r="N104" i="1"/>
  <c r="I104" i="1"/>
  <c r="P103" i="1"/>
  <c r="N103" i="1"/>
  <c r="I103" i="1"/>
  <c r="P97" i="1"/>
  <c r="L97" i="1"/>
  <c r="P96" i="1"/>
  <c r="N96" i="1"/>
  <c r="L96" i="1"/>
  <c r="I96" i="1"/>
  <c r="P95" i="1"/>
  <c r="N95" i="1"/>
  <c r="L95" i="1"/>
  <c r="I95" i="1"/>
  <c r="P94" i="1"/>
  <c r="N94" i="1"/>
  <c r="L94" i="1"/>
  <c r="I94" i="1"/>
  <c r="P93" i="1"/>
  <c r="N93" i="1"/>
  <c r="L93" i="1"/>
  <c r="K93" i="1"/>
  <c r="I93" i="1"/>
  <c r="P92" i="1"/>
  <c r="N92" i="1"/>
  <c r="L92" i="1"/>
  <c r="K92" i="1"/>
  <c r="I92" i="1"/>
  <c r="P91" i="1"/>
  <c r="N91" i="1"/>
  <c r="L91" i="1"/>
  <c r="K91" i="1"/>
  <c r="I91" i="1"/>
  <c r="P90" i="1"/>
  <c r="N90" i="1"/>
  <c r="L90" i="1"/>
  <c r="K90" i="1"/>
  <c r="I90" i="1"/>
  <c r="P89" i="1"/>
  <c r="N89" i="1"/>
  <c r="L89" i="1"/>
  <c r="K89" i="1"/>
  <c r="I89" i="1"/>
  <c r="P88" i="1"/>
  <c r="N88" i="1"/>
  <c r="L88" i="1"/>
  <c r="K88" i="1"/>
  <c r="I88" i="1"/>
  <c r="P87" i="1"/>
  <c r="N87" i="1"/>
  <c r="L87" i="1"/>
  <c r="K87" i="1"/>
  <c r="I87" i="1"/>
  <c r="P86" i="1"/>
  <c r="N86" i="1"/>
  <c r="L86" i="1"/>
  <c r="K86" i="1"/>
  <c r="I86" i="1"/>
  <c r="P85" i="1"/>
  <c r="N85" i="1"/>
  <c r="L85" i="1"/>
  <c r="I85" i="1"/>
  <c r="P84" i="1"/>
  <c r="N84" i="1"/>
  <c r="L84" i="1"/>
  <c r="K84" i="1"/>
  <c r="I84" i="1"/>
  <c r="P82" i="1"/>
  <c r="N82" i="1"/>
  <c r="L82" i="1"/>
  <c r="K82" i="1"/>
  <c r="I82" i="1"/>
  <c r="P81" i="1"/>
  <c r="N81" i="1"/>
  <c r="L81" i="1"/>
  <c r="K81" i="1"/>
  <c r="I81" i="1"/>
  <c r="P80" i="1"/>
  <c r="N80" i="1"/>
  <c r="L80" i="1"/>
  <c r="K80" i="1"/>
  <c r="I80" i="1"/>
  <c r="P79" i="1"/>
  <c r="N79" i="1"/>
  <c r="L79" i="1"/>
  <c r="K79" i="1"/>
  <c r="I79" i="1"/>
  <c r="P78" i="1"/>
  <c r="N78" i="1"/>
  <c r="L78" i="1"/>
  <c r="K78" i="1"/>
  <c r="I78" i="1"/>
  <c r="P77" i="1"/>
  <c r="N77" i="1"/>
  <c r="L77" i="1"/>
  <c r="K77" i="1"/>
  <c r="I77" i="1"/>
  <c r="P76" i="1"/>
  <c r="N76" i="1"/>
  <c r="L76" i="1"/>
  <c r="K76" i="1"/>
  <c r="P75" i="1"/>
  <c r="N75" i="1"/>
  <c r="M75" i="1"/>
  <c r="L75" i="1"/>
  <c r="K75" i="1"/>
  <c r="AE297" i="3"/>
  <c r="AE266" i="3"/>
  <c r="AE265" i="3"/>
  <c r="AE264" i="3"/>
  <c r="AE263" i="3"/>
  <c r="AE262" i="3"/>
  <c r="AE261" i="3"/>
  <c r="AE260" i="3"/>
  <c r="AE259" i="3"/>
  <c r="AE258" i="3"/>
  <c r="AE257" i="3"/>
  <c r="AE256" i="3"/>
  <c r="AE255" i="3"/>
  <c r="AE254" i="3"/>
  <c r="AE253" i="3"/>
  <c r="AE252" i="3"/>
  <c r="AE251" i="3"/>
  <c r="AE250" i="3"/>
  <c r="AE249" i="3"/>
  <c r="AE247" i="3"/>
  <c r="AE246" i="3"/>
  <c r="AH245" i="3"/>
  <c r="AG245" i="3"/>
  <c r="AF245" i="3"/>
  <c r="AE245" i="3"/>
  <c r="S251" i="1"/>
  <c r="AH244" i="3"/>
  <c r="AG244" i="3"/>
  <c r="AF244" i="3"/>
  <c r="S491" i="1"/>
  <c r="AE244" i="3"/>
  <c r="S250" i="1" s="1"/>
  <c r="AH243" i="3"/>
  <c r="AG243" i="3"/>
  <c r="AF243" i="3"/>
  <c r="S490" i="1" s="1"/>
  <c r="AE243" i="3"/>
  <c r="S249" i="1"/>
  <c r="AH242" i="3"/>
  <c r="AG242" i="3"/>
  <c r="S581" i="1" s="1"/>
  <c r="AF242" i="3"/>
  <c r="S489" i="1" s="1"/>
  <c r="AE242" i="3"/>
  <c r="S248" i="1" s="1"/>
  <c r="AH241" i="3"/>
  <c r="AG241" i="3"/>
  <c r="S580" i="1" s="1"/>
  <c r="AF241" i="3"/>
  <c r="S488" i="1"/>
  <c r="AE241" i="3"/>
  <c r="S247" i="1" s="1"/>
  <c r="AH240" i="3"/>
  <c r="S599" i="1"/>
  <c r="AG240" i="3"/>
  <c r="S579" i="1" s="1"/>
  <c r="AF240" i="3"/>
  <c r="S487" i="1"/>
  <c r="AE240" i="3"/>
  <c r="S246" i="1" s="1"/>
  <c r="AH239" i="3"/>
  <c r="AG239" i="3"/>
  <c r="S578" i="1" s="1"/>
  <c r="AF239" i="3"/>
  <c r="S486" i="1" s="1"/>
  <c r="AE239" i="3"/>
  <c r="S245" i="1" s="1"/>
  <c r="AH238" i="3"/>
  <c r="S598" i="1" s="1"/>
  <c r="AG238" i="3"/>
  <c r="S577" i="1"/>
  <c r="AF238" i="3"/>
  <c r="S485" i="1" s="1"/>
  <c r="AE238" i="3"/>
  <c r="S244" i="1" s="1"/>
  <c r="AH237" i="3"/>
  <c r="AG237" i="3"/>
  <c r="AF237" i="3"/>
  <c r="S484" i="1" s="1"/>
  <c r="AE237" i="3"/>
  <c r="S243" i="1" s="1"/>
  <c r="AH236" i="3"/>
  <c r="AG236" i="3"/>
  <c r="S576" i="1" s="1"/>
  <c r="AF236" i="3"/>
  <c r="S483" i="1"/>
  <c r="AE236" i="3"/>
  <c r="S242" i="1" s="1"/>
  <c r="AH235" i="3"/>
  <c r="AG235" i="3"/>
  <c r="AF235" i="3"/>
  <c r="S373" i="1" s="1"/>
  <c r="AE235" i="3"/>
  <c r="S241" i="1"/>
  <c r="AH234" i="3"/>
  <c r="S597" i="1" s="1"/>
  <c r="AG234" i="3"/>
  <c r="S575" i="1"/>
  <c r="AF234" i="3"/>
  <c r="S482" i="1" s="1"/>
  <c r="AE234" i="3"/>
  <c r="S240" i="1"/>
  <c r="AH233" i="3"/>
  <c r="AG233" i="3"/>
  <c r="AF233" i="3"/>
  <c r="AE233" i="3"/>
  <c r="S239" i="1" s="1"/>
  <c r="AH232" i="3"/>
  <c r="AG232" i="3"/>
  <c r="AF232" i="3"/>
  <c r="AE232" i="3"/>
  <c r="S238" i="1" s="1"/>
  <c r="AH231" i="3"/>
  <c r="AG231" i="3"/>
  <c r="AF231" i="3"/>
  <c r="S480" i="1" s="1"/>
  <c r="AE231" i="3"/>
  <c r="S237" i="1"/>
  <c r="AH229" i="3"/>
  <c r="S596" i="1" s="1"/>
  <c r="AG229" i="3"/>
  <c r="AF229" i="3"/>
  <c r="AE229" i="3"/>
  <c r="S235" i="1" s="1"/>
  <c r="AH228" i="3"/>
  <c r="S595" i="1"/>
  <c r="AG228" i="3"/>
  <c r="S574" i="1" s="1"/>
  <c r="AF228" i="3"/>
  <c r="S479" i="1"/>
  <c r="AE228" i="3"/>
  <c r="S234" i="1" s="1"/>
  <c r="AH227" i="3"/>
  <c r="AG227" i="3"/>
  <c r="AF227" i="3"/>
  <c r="S478" i="1" s="1"/>
  <c r="AE227" i="3"/>
  <c r="S233" i="1"/>
  <c r="AH226" i="3"/>
  <c r="S594" i="1" s="1"/>
  <c r="AG226" i="3"/>
  <c r="AF226" i="3"/>
  <c r="AE226" i="3"/>
  <c r="S232" i="1" s="1"/>
  <c r="AH225" i="3"/>
  <c r="AG225" i="3"/>
  <c r="AF225" i="3"/>
  <c r="S372" i="1" s="1"/>
  <c r="AE225" i="3"/>
  <c r="S231" i="1"/>
  <c r="AH224" i="3"/>
  <c r="AG224" i="3"/>
  <c r="AF224" i="3"/>
  <c r="S371" i="1"/>
  <c r="AE224" i="3"/>
  <c r="S230" i="1" s="1"/>
  <c r="AH223" i="3"/>
  <c r="AG223" i="3"/>
  <c r="AF223" i="3"/>
  <c r="S370" i="1" s="1"/>
  <c r="AE223" i="3"/>
  <c r="S229" i="1"/>
  <c r="AH222" i="3"/>
  <c r="AG222" i="3"/>
  <c r="AF222" i="3"/>
  <c r="S369" i="1"/>
  <c r="AE222" i="3"/>
  <c r="S228" i="1" s="1"/>
  <c r="AH221" i="3"/>
  <c r="AG221" i="3"/>
  <c r="AF221" i="3"/>
  <c r="S476" i="1" s="1"/>
  <c r="AE221" i="3"/>
  <c r="S227" i="1"/>
  <c r="AH220" i="3"/>
  <c r="AG220" i="3"/>
  <c r="AF220" i="3"/>
  <c r="S475" i="1"/>
  <c r="AE220" i="3"/>
  <c r="S226" i="1" s="1"/>
  <c r="AH219" i="3"/>
  <c r="AG219" i="3"/>
  <c r="S573" i="1"/>
  <c r="AF219" i="3"/>
  <c r="S474" i="1" s="1"/>
  <c r="AE219" i="3"/>
  <c r="S225" i="1" s="1"/>
  <c r="AH218" i="3"/>
  <c r="AG218" i="3"/>
  <c r="AF218" i="3"/>
  <c r="AE218" i="3"/>
  <c r="S224" i="1" s="1"/>
  <c r="AH217" i="3"/>
  <c r="AG217" i="3"/>
  <c r="S572" i="1"/>
  <c r="AF217" i="3"/>
  <c r="AE217" i="3"/>
  <c r="AH216" i="3"/>
  <c r="AG216" i="3"/>
  <c r="AF216" i="3"/>
  <c r="S368" i="1" s="1"/>
  <c r="AE216" i="3"/>
  <c r="AH215" i="3"/>
  <c r="AG215" i="3"/>
  <c r="AF215" i="3"/>
  <c r="S473" i="1"/>
  <c r="AE215" i="3"/>
  <c r="S223" i="1" s="1"/>
  <c r="AH214" i="3"/>
  <c r="AG214" i="3"/>
  <c r="S571" i="1"/>
  <c r="AF214" i="3"/>
  <c r="S472" i="1" s="1"/>
  <c r="AE214" i="3"/>
  <c r="S222" i="1" s="1"/>
  <c r="AH213" i="3"/>
  <c r="AG213" i="3"/>
  <c r="AF213" i="3"/>
  <c r="AE213" i="3"/>
  <c r="S221" i="1" s="1"/>
  <c r="AH212" i="3"/>
  <c r="AG212" i="3"/>
  <c r="AF212" i="3"/>
  <c r="AE212" i="3"/>
  <c r="S220" i="1"/>
  <c r="AH211" i="3"/>
  <c r="AG211" i="3"/>
  <c r="AF211" i="3"/>
  <c r="AE211" i="3"/>
  <c r="AH210" i="3"/>
  <c r="AG210" i="3"/>
  <c r="AF210" i="3"/>
  <c r="AE210" i="3"/>
  <c r="S218" i="1" s="1"/>
  <c r="AH209" i="3"/>
  <c r="AG209" i="3"/>
  <c r="AF209" i="3"/>
  <c r="AE209" i="3"/>
  <c r="S217" i="1" s="1"/>
  <c r="AH208" i="3"/>
  <c r="AG208" i="3"/>
  <c r="AF208" i="3"/>
  <c r="AE208" i="3"/>
  <c r="AH207" i="3"/>
  <c r="AG207" i="3"/>
  <c r="AF207" i="3"/>
  <c r="AE207" i="3"/>
  <c r="S215" i="1" s="1"/>
  <c r="AH206" i="3"/>
  <c r="AG206" i="3"/>
  <c r="AF206" i="3"/>
  <c r="AE206" i="3"/>
  <c r="S214" i="1"/>
  <c r="AH205" i="3"/>
  <c r="AG205" i="3"/>
  <c r="AF205" i="3"/>
  <c r="AE205" i="3"/>
  <c r="S213" i="1" s="1"/>
  <c r="AH204" i="3"/>
  <c r="AG204" i="3"/>
  <c r="AF204" i="3"/>
  <c r="AE204" i="3"/>
  <c r="S212" i="1" s="1"/>
  <c r="AH203" i="3"/>
  <c r="AG203" i="3"/>
  <c r="AF203" i="3"/>
  <c r="AE203" i="3"/>
  <c r="S211" i="1" s="1"/>
  <c r="AH202" i="3"/>
  <c r="AG202" i="3"/>
  <c r="AF202" i="3"/>
  <c r="AE202" i="3"/>
  <c r="S210" i="1"/>
  <c r="AH201" i="3"/>
  <c r="AG201" i="3"/>
  <c r="AF201" i="3"/>
  <c r="AE201" i="3"/>
  <c r="S209" i="1" s="1"/>
  <c r="AH200" i="3"/>
  <c r="AG200" i="3"/>
  <c r="AF200" i="3"/>
  <c r="AE200" i="3"/>
  <c r="S208" i="1" s="1"/>
  <c r="AH199" i="3"/>
  <c r="AG199" i="3"/>
  <c r="AF199" i="3"/>
  <c r="AE199" i="3"/>
  <c r="S207" i="1" s="1"/>
  <c r="AH198" i="3"/>
  <c r="AG198" i="3"/>
  <c r="AF198" i="3"/>
  <c r="AE198" i="3"/>
  <c r="S206" i="1"/>
  <c r="AH197" i="3"/>
  <c r="AG197" i="3"/>
  <c r="S570" i="1" s="1"/>
  <c r="AF197" i="3"/>
  <c r="AH196" i="3"/>
  <c r="AG196" i="3"/>
  <c r="S569" i="1" s="1"/>
  <c r="AF196" i="3"/>
  <c r="S470" i="1" s="1"/>
  <c r="AE196" i="3"/>
  <c r="S204" i="1" s="1"/>
  <c r="AH195" i="3"/>
  <c r="AG195" i="3"/>
  <c r="S567" i="1" s="1"/>
  <c r="AF195" i="3"/>
  <c r="S469" i="1"/>
  <c r="AE195" i="3"/>
  <c r="S203" i="1" s="1"/>
  <c r="AH194" i="3"/>
  <c r="AG194" i="3"/>
  <c r="S568" i="1"/>
  <c r="AF194" i="3"/>
  <c r="AE194" i="3"/>
  <c r="S202" i="1"/>
  <c r="AH193" i="3"/>
  <c r="AG193" i="3"/>
  <c r="AF193" i="3"/>
  <c r="S366" i="1"/>
  <c r="AE193" i="3"/>
  <c r="S628" i="1" s="1"/>
  <c r="AF192" i="3"/>
  <c r="AE192" i="3"/>
  <c r="S630" i="1" s="1"/>
  <c r="AH191" i="3"/>
  <c r="AG191" i="3"/>
  <c r="AF191" i="3"/>
  <c r="S365" i="1" s="1"/>
  <c r="AE191" i="3"/>
  <c r="AH190" i="3"/>
  <c r="AG190" i="3"/>
  <c r="AF190" i="3"/>
  <c r="S467" i="1" s="1"/>
  <c r="AE190" i="3"/>
  <c r="S200" i="1"/>
  <c r="AH189" i="3"/>
  <c r="AG189" i="3"/>
  <c r="AF189" i="3"/>
  <c r="AE189" i="3"/>
  <c r="S199" i="1" s="1"/>
  <c r="AH188" i="3"/>
  <c r="AG188" i="3"/>
  <c r="S566" i="1"/>
  <c r="AF188" i="3"/>
  <c r="S465" i="1" s="1"/>
  <c r="AE188" i="3"/>
  <c r="S198" i="1"/>
  <c r="AH186" i="3"/>
  <c r="AG186" i="3"/>
  <c r="AF186" i="3"/>
  <c r="S364" i="1"/>
  <c r="AE186" i="3"/>
  <c r="AH185" i="3"/>
  <c r="AG185" i="3"/>
  <c r="S565" i="1"/>
  <c r="AF185" i="3"/>
  <c r="S464" i="1" s="1"/>
  <c r="AE185" i="3"/>
  <c r="S197" i="1"/>
  <c r="AH184" i="3"/>
  <c r="AG184" i="3"/>
  <c r="S564" i="1" s="1"/>
  <c r="AF184" i="3"/>
  <c r="AE184" i="3"/>
  <c r="S196" i="1" s="1"/>
  <c r="AH183" i="3"/>
  <c r="AG183" i="3"/>
  <c r="S563" i="1" s="1"/>
  <c r="AF183" i="3"/>
  <c r="S463" i="1" s="1"/>
  <c r="AE183" i="3"/>
  <c r="S195" i="1" s="1"/>
  <c r="AH182" i="3"/>
  <c r="AG182" i="3"/>
  <c r="S562" i="1"/>
  <c r="AF182" i="3"/>
  <c r="AE182" i="3"/>
  <c r="S194" i="1" s="1"/>
  <c r="AH181" i="3"/>
  <c r="AG181" i="3"/>
  <c r="AF181" i="3"/>
  <c r="AE181" i="3"/>
  <c r="S193" i="1"/>
  <c r="AH180" i="3"/>
  <c r="AG180" i="3"/>
  <c r="S560" i="1" s="1"/>
  <c r="AF180" i="3"/>
  <c r="AE180" i="3"/>
  <c r="S192" i="1" s="1"/>
  <c r="AH179" i="3"/>
  <c r="AG179" i="3"/>
  <c r="AF179" i="3"/>
  <c r="S460" i="1" s="1"/>
  <c r="AE179" i="3"/>
  <c r="S191" i="1"/>
  <c r="AH178" i="3"/>
  <c r="AG178" i="3"/>
  <c r="AF178" i="3"/>
  <c r="S459" i="1"/>
  <c r="AE178" i="3"/>
  <c r="S190" i="1" s="1"/>
  <c r="AH177" i="3"/>
  <c r="AG177" i="3"/>
  <c r="S559" i="1"/>
  <c r="AF177" i="3"/>
  <c r="S458" i="1" s="1"/>
  <c r="AE177" i="3"/>
  <c r="S189" i="1"/>
  <c r="AH176" i="3"/>
  <c r="AG176" i="3"/>
  <c r="AF176" i="3"/>
  <c r="AE176" i="3"/>
  <c r="S188" i="1" s="1"/>
  <c r="AH175" i="3"/>
  <c r="S593" i="1"/>
  <c r="AG175" i="3"/>
  <c r="AF175" i="3"/>
  <c r="S457" i="1" s="1"/>
  <c r="AE175" i="3"/>
  <c r="S187" i="1" s="1"/>
  <c r="AH174" i="3"/>
  <c r="AG174" i="3"/>
  <c r="S558" i="1"/>
  <c r="AF174" i="3"/>
  <c r="AE174" i="3"/>
  <c r="S186" i="1" s="1"/>
  <c r="AH173" i="3"/>
  <c r="AG173" i="3"/>
  <c r="S557" i="1" s="1"/>
  <c r="AF173" i="3"/>
  <c r="S455" i="1"/>
  <c r="AE173" i="3"/>
  <c r="S185" i="1" s="1"/>
  <c r="AH172" i="3"/>
  <c r="AG172" i="3"/>
  <c r="AF172" i="3"/>
  <c r="AE172" i="3"/>
  <c r="S184" i="1" s="1"/>
  <c r="AH171" i="3"/>
  <c r="AG171" i="3"/>
  <c r="AF171" i="3"/>
  <c r="AE171" i="3"/>
  <c r="S183" i="1"/>
  <c r="AH170" i="3"/>
  <c r="AG170" i="3"/>
  <c r="AF170" i="3"/>
  <c r="S363" i="1"/>
  <c r="AE170" i="3"/>
  <c r="S627" i="1"/>
  <c r="AH169" i="3"/>
  <c r="AG169" i="3"/>
  <c r="S555" i="1"/>
  <c r="AF169" i="3"/>
  <c r="S454" i="1" s="1"/>
  <c r="AE169" i="3"/>
  <c r="S182" i="1" s="1"/>
  <c r="AH167" i="3"/>
  <c r="AG167" i="3"/>
  <c r="S556" i="1"/>
  <c r="AE167" i="3"/>
  <c r="S181" i="1"/>
  <c r="AH166" i="3"/>
  <c r="AG166" i="3"/>
  <c r="AF166" i="3"/>
  <c r="S451" i="1"/>
  <c r="AE166" i="3"/>
  <c r="S180" i="1"/>
  <c r="AH165" i="3"/>
  <c r="AG165" i="3"/>
  <c r="AF165" i="3"/>
  <c r="S450" i="1"/>
  <c r="AE165" i="3"/>
  <c r="S179" i="1"/>
  <c r="AH164" i="3"/>
  <c r="AG164" i="3"/>
  <c r="AF164" i="3"/>
  <c r="S362" i="1"/>
  <c r="AE164" i="3"/>
  <c r="AH163" i="3"/>
  <c r="AG163" i="3"/>
  <c r="AF163" i="3"/>
  <c r="AE163" i="3"/>
  <c r="S178" i="1"/>
  <c r="AH162" i="3"/>
  <c r="AG162" i="3"/>
  <c r="AF162" i="3"/>
  <c r="S449" i="1"/>
  <c r="AE162" i="3"/>
  <c r="S177" i="1"/>
  <c r="AH161" i="3"/>
  <c r="AG161" i="3"/>
  <c r="AF161" i="3"/>
  <c r="S448" i="1"/>
  <c r="AE161" i="3"/>
  <c r="S176" i="1"/>
  <c r="AH160" i="3"/>
  <c r="AG160" i="3"/>
  <c r="AF160" i="3"/>
  <c r="S447" i="1"/>
  <c r="AE160" i="3"/>
  <c r="S175" i="1"/>
  <c r="AH159" i="3"/>
  <c r="AG159" i="3"/>
  <c r="AF159" i="3"/>
  <c r="S446" i="1"/>
  <c r="AE159" i="3"/>
  <c r="S174" i="1"/>
  <c r="AH158" i="3"/>
  <c r="AG158" i="3"/>
  <c r="AF158" i="3"/>
  <c r="S445" i="1"/>
  <c r="AE158" i="3"/>
  <c r="S173" i="1"/>
  <c r="AH157" i="3"/>
  <c r="AG157" i="3"/>
  <c r="AF157" i="3"/>
  <c r="S444" i="1"/>
  <c r="AE157" i="3"/>
  <c r="AH156" i="3"/>
  <c r="AG156" i="3"/>
  <c r="S554" i="1"/>
  <c r="AF156" i="3"/>
  <c r="S361" i="1"/>
  <c r="AE156" i="3"/>
  <c r="S172" i="1"/>
  <c r="AH155" i="3"/>
  <c r="AG155" i="3"/>
  <c r="S553" i="1" s="1"/>
  <c r="AF155" i="3"/>
  <c r="S443" i="1" s="1"/>
  <c r="AE155" i="3"/>
  <c r="S171" i="1" s="1"/>
  <c r="AH154" i="3"/>
  <c r="AG154" i="3"/>
  <c r="AF154" i="3"/>
  <c r="AE154" i="3"/>
  <c r="S170" i="1" s="1"/>
  <c r="AH153" i="3"/>
  <c r="AG153" i="3"/>
  <c r="AF153" i="3"/>
  <c r="AE153" i="3"/>
  <c r="S169" i="1" s="1"/>
  <c r="AH152" i="3"/>
  <c r="AG152" i="3"/>
  <c r="AF152" i="3"/>
  <c r="AE152" i="3"/>
  <c r="S168" i="1"/>
  <c r="AH151" i="3"/>
  <c r="AG151" i="3"/>
  <c r="AF151" i="3"/>
  <c r="S360" i="1"/>
  <c r="AE151" i="3"/>
  <c r="AH150" i="3"/>
  <c r="AG150" i="3"/>
  <c r="S552" i="1"/>
  <c r="AF150" i="3"/>
  <c r="S442" i="1" s="1"/>
  <c r="AE150" i="3"/>
  <c r="S167" i="1"/>
  <c r="AH149" i="3"/>
  <c r="AG149" i="3"/>
  <c r="AF149" i="3"/>
  <c r="AE149" i="3"/>
  <c r="S166" i="1"/>
  <c r="AH148" i="3"/>
  <c r="AG148" i="3"/>
  <c r="S551" i="1"/>
  <c r="AF148" i="3"/>
  <c r="S441" i="1" s="1"/>
  <c r="AE148" i="3"/>
  <c r="S165" i="1"/>
  <c r="AH147" i="3"/>
  <c r="AG147" i="3"/>
  <c r="AF147" i="3"/>
  <c r="S440" i="1"/>
  <c r="AE147" i="3"/>
  <c r="S164" i="1" s="1"/>
  <c r="AH145" i="3"/>
  <c r="AG145" i="3"/>
  <c r="AF145" i="3"/>
  <c r="S438" i="1" s="1"/>
  <c r="AE145" i="3"/>
  <c r="S163" i="1"/>
  <c r="AH144" i="3"/>
  <c r="AG144" i="3"/>
  <c r="AF144" i="3"/>
  <c r="S437" i="1"/>
  <c r="AE144" i="3"/>
  <c r="AH143" i="3"/>
  <c r="AG143" i="3"/>
  <c r="AF143" i="3"/>
  <c r="S436" i="1"/>
  <c r="AE143" i="3"/>
  <c r="AH142" i="3"/>
  <c r="S592" i="1"/>
  <c r="AG142" i="3"/>
  <c r="S550" i="1" s="1"/>
  <c r="AF142" i="3"/>
  <c r="S435" i="1"/>
  <c r="AE142" i="3"/>
  <c r="S161" i="1" s="1"/>
  <c r="AH141" i="3"/>
  <c r="AG141" i="3"/>
  <c r="AF141" i="3"/>
  <c r="S434" i="1" s="1"/>
  <c r="AE141" i="3"/>
  <c r="S160" i="1"/>
  <c r="AH140" i="3"/>
  <c r="AG140" i="3"/>
  <c r="S549" i="1" s="1"/>
  <c r="AF140" i="3"/>
  <c r="AE140" i="3"/>
  <c r="S159" i="1"/>
  <c r="AH139" i="3"/>
  <c r="AG139" i="3"/>
  <c r="AF139" i="3"/>
  <c r="S359" i="1"/>
  <c r="AE139" i="3"/>
  <c r="S158" i="1"/>
  <c r="AH138" i="3"/>
  <c r="AG138" i="3"/>
  <c r="AF138" i="3"/>
  <c r="S358" i="1"/>
  <c r="AE138" i="3"/>
  <c r="AH137" i="3"/>
  <c r="AG137" i="3"/>
  <c r="AF137" i="3"/>
  <c r="S357" i="1"/>
  <c r="AE137" i="3"/>
  <c r="S157" i="1" s="1"/>
  <c r="AH136" i="3"/>
  <c r="AG136" i="3"/>
  <c r="AF136" i="3"/>
  <c r="S356" i="1" s="1"/>
  <c r="AE136" i="3"/>
  <c r="AH135" i="3"/>
  <c r="AG135" i="3"/>
  <c r="S547" i="1" s="1"/>
  <c r="AF135" i="3"/>
  <c r="S354" i="1"/>
  <c r="AE135" i="3"/>
  <c r="S156" i="1" s="1"/>
  <c r="AH134" i="3"/>
  <c r="AG134" i="3"/>
  <c r="S548" i="1"/>
  <c r="AF134" i="3"/>
  <c r="S355" i="1"/>
  <c r="AE134" i="3"/>
  <c r="S155" i="1"/>
  <c r="AH133" i="3"/>
  <c r="AG133" i="3"/>
  <c r="AF133" i="3"/>
  <c r="S353" i="1"/>
  <c r="AE133" i="3"/>
  <c r="AH132" i="3"/>
  <c r="AG132" i="3"/>
  <c r="S546" i="1"/>
  <c r="AF132" i="3"/>
  <c r="AE132" i="3"/>
  <c r="S154" i="1"/>
  <c r="AH131" i="3"/>
  <c r="AG131" i="3"/>
  <c r="AF131" i="3"/>
  <c r="S352" i="1"/>
  <c r="AE131" i="3"/>
  <c r="S153" i="1" s="1"/>
  <c r="AH130" i="3"/>
  <c r="AG130" i="3"/>
  <c r="AF130" i="3"/>
  <c r="S351" i="1" s="1"/>
  <c r="AE130" i="3"/>
  <c r="S152" i="1" s="1"/>
  <c r="AH129" i="3"/>
  <c r="AG129" i="3"/>
  <c r="AF129" i="3"/>
  <c r="S350" i="1" s="1"/>
  <c r="AE129" i="3"/>
  <c r="AH128" i="3"/>
  <c r="AG128" i="3"/>
  <c r="S545" i="1" s="1"/>
  <c r="AF128" i="3"/>
  <c r="S349" i="1" s="1"/>
  <c r="AE128" i="3"/>
  <c r="S151" i="1"/>
  <c r="AH127" i="3"/>
  <c r="AG127" i="3"/>
  <c r="AF127" i="3"/>
  <c r="AE127" i="3"/>
  <c r="S150" i="1" s="1"/>
  <c r="AH126" i="3"/>
  <c r="AG126" i="3"/>
  <c r="AF126" i="3"/>
  <c r="S433" i="1" s="1"/>
  <c r="AE126" i="3"/>
  <c r="S149" i="1"/>
  <c r="AH125" i="3"/>
  <c r="AG125" i="3"/>
  <c r="S544" i="1" s="1"/>
  <c r="AF125" i="3"/>
  <c r="AE125" i="3"/>
  <c r="S148" i="1"/>
  <c r="AH124" i="3"/>
  <c r="AG124" i="3"/>
  <c r="AF124" i="3"/>
  <c r="S431" i="1"/>
  <c r="AE124" i="3"/>
  <c r="AH123" i="3"/>
  <c r="AG123" i="3"/>
  <c r="AF123" i="3"/>
  <c r="S430" i="1" s="1"/>
  <c r="AE123" i="3"/>
  <c r="AH122" i="3"/>
  <c r="AG122" i="3"/>
  <c r="AF122" i="3"/>
  <c r="S429" i="1"/>
  <c r="AE122" i="3"/>
  <c r="AH121" i="3"/>
  <c r="S591" i="1" s="1"/>
  <c r="AG121" i="3"/>
  <c r="S543" i="1" s="1"/>
  <c r="AF121" i="3"/>
  <c r="S428" i="1" s="1"/>
  <c r="AE121" i="3"/>
  <c r="S147" i="1"/>
  <c r="AH120" i="3"/>
  <c r="AG120" i="3"/>
  <c r="AF120" i="3"/>
  <c r="S427" i="1"/>
  <c r="AE120" i="3"/>
  <c r="AH119" i="3"/>
  <c r="AG119" i="3"/>
  <c r="AF119" i="3"/>
  <c r="S426" i="1" s="1"/>
  <c r="AE119" i="3"/>
  <c r="S146" i="1"/>
  <c r="AH118" i="3"/>
  <c r="AG118" i="3"/>
  <c r="AF118" i="3"/>
  <c r="S425" i="1"/>
  <c r="AE118" i="3"/>
  <c r="S145" i="1" s="1"/>
  <c r="AH117" i="3"/>
  <c r="AG117" i="3"/>
  <c r="AF117" i="3"/>
  <c r="S422" i="1" s="1"/>
  <c r="AE117" i="3"/>
  <c r="S144" i="1"/>
  <c r="AH116" i="3"/>
  <c r="AG116" i="3"/>
  <c r="AF116" i="3"/>
  <c r="S424" i="1"/>
  <c r="AE116" i="3"/>
  <c r="S143" i="1" s="1"/>
  <c r="AH115" i="3"/>
  <c r="AG115" i="3"/>
  <c r="AF115" i="3"/>
  <c r="S423" i="1" s="1"/>
  <c r="AE115" i="3"/>
  <c r="AH114" i="3"/>
  <c r="AG114" i="3"/>
  <c r="S542" i="1" s="1"/>
  <c r="AF114" i="3"/>
  <c r="S421" i="1"/>
  <c r="AE114" i="3"/>
  <c r="S142" i="1" s="1"/>
  <c r="AH113" i="3"/>
  <c r="AG113" i="3"/>
  <c r="AF113" i="3"/>
  <c r="S420" i="1" s="1"/>
  <c r="AH111" i="3"/>
  <c r="AG111" i="3"/>
  <c r="AF111" i="3"/>
  <c r="S418" i="1" s="1"/>
  <c r="AH110" i="3"/>
  <c r="S590" i="1"/>
  <c r="AG110" i="3"/>
  <c r="AF110" i="3"/>
  <c r="S416" i="1" s="1"/>
  <c r="AE110" i="3"/>
  <c r="AH109" i="3"/>
  <c r="AG109" i="3"/>
  <c r="AF109" i="3"/>
  <c r="S417" i="1"/>
  <c r="AE109" i="3"/>
  <c r="S138" i="1"/>
  <c r="AH108" i="3"/>
  <c r="S589" i="1"/>
  <c r="AG108" i="3"/>
  <c r="S541" i="1"/>
  <c r="AF108" i="3"/>
  <c r="S415" i="1"/>
  <c r="AE108" i="3"/>
  <c r="AH107" i="3"/>
  <c r="AG107" i="3"/>
  <c r="S540" i="1"/>
  <c r="AF107" i="3"/>
  <c r="S414" i="1"/>
  <c r="AE107" i="3"/>
  <c r="S136" i="1"/>
  <c r="AH106" i="3"/>
  <c r="AG106" i="3"/>
  <c r="S539" i="1" s="1"/>
  <c r="AF106" i="3"/>
  <c r="S413" i="1" s="1"/>
  <c r="AE106" i="3"/>
  <c r="S135" i="1" s="1"/>
  <c r="AH105" i="3"/>
  <c r="AG105" i="3"/>
  <c r="AF105" i="3"/>
  <c r="S412" i="1" s="1"/>
  <c r="AE105" i="3"/>
  <c r="S134" i="1"/>
  <c r="AH104" i="3"/>
  <c r="AG104" i="3"/>
  <c r="AF104" i="3"/>
  <c r="S411" i="1"/>
  <c r="AE104" i="3"/>
  <c r="S133" i="1" s="1"/>
  <c r="AH103" i="3"/>
  <c r="AG103" i="3"/>
  <c r="S537" i="1"/>
  <c r="AF103" i="3"/>
  <c r="AE103" i="3"/>
  <c r="S132" i="1"/>
  <c r="AH102" i="3"/>
  <c r="AG102" i="3"/>
  <c r="AF102" i="3"/>
  <c r="S348" i="1"/>
  <c r="AE102" i="3"/>
  <c r="AH101" i="3"/>
  <c r="AG101" i="3"/>
  <c r="AF101" i="3"/>
  <c r="S347" i="1"/>
  <c r="AE101" i="3"/>
  <c r="AH100" i="3"/>
  <c r="AG100" i="3"/>
  <c r="AF100" i="3"/>
  <c r="S346" i="1" s="1"/>
  <c r="AE100" i="3"/>
  <c r="AH99" i="3"/>
  <c r="AG99" i="3"/>
  <c r="AF99" i="3"/>
  <c r="S345" i="1"/>
  <c r="AE99" i="3"/>
  <c r="AH98" i="3"/>
  <c r="AG98" i="3"/>
  <c r="AF98" i="3"/>
  <c r="S344" i="1" s="1"/>
  <c r="AE98" i="3"/>
  <c r="AH97" i="3"/>
  <c r="AG97" i="3"/>
  <c r="AF97" i="3"/>
  <c r="S343" i="1"/>
  <c r="AE97" i="3"/>
  <c r="AH96" i="3"/>
  <c r="AG96" i="3"/>
  <c r="AF96" i="3"/>
  <c r="S342" i="1" s="1"/>
  <c r="AE96" i="3"/>
  <c r="AH95" i="3"/>
  <c r="AG95" i="3"/>
  <c r="AF95" i="3"/>
  <c r="S341" i="1"/>
  <c r="AE95" i="3"/>
  <c r="AH94" i="3"/>
  <c r="AG94" i="3"/>
  <c r="AF94" i="3"/>
  <c r="S340" i="1" s="1"/>
  <c r="AE94" i="3"/>
  <c r="AH93" i="3"/>
  <c r="AG93" i="3"/>
  <c r="AF93" i="3"/>
  <c r="S339" i="1" s="1"/>
  <c r="AE93" i="3"/>
  <c r="AH92" i="3"/>
  <c r="AG92" i="3"/>
  <c r="AF92" i="3"/>
  <c r="S338" i="1" s="1"/>
  <c r="AE92" i="3"/>
  <c r="AH91" i="3"/>
  <c r="AG91" i="3"/>
  <c r="AF91" i="3"/>
  <c r="S337" i="1"/>
  <c r="AE91" i="3"/>
  <c r="AH90" i="3"/>
  <c r="AG90" i="3"/>
  <c r="AF90" i="3"/>
  <c r="S336" i="1" s="1"/>
  <c r="AE90" i="3"/>
  <c r="AH89" i="3"/>
  <c r="AG89" i="3"/>
  <c r="AF89" i="3"/>
  <c r="S335" i="1" s="1"/>
  <c r="AE89" i="3"/>
  <c r="AH88" i="3"/>
  <c r="AG88" i="3"/>
  <c r="AF88" i="3"/>
  <c r="S334" i="1" s="1"/>
  <c r="AE88" i="3"/>
  <c r="AH87" i="3"/>
  <c r="AG87" i="3"/>
  <c r="AF87" i="3"/>
  <c r="S333" i="1"/>
  <c r="AE87" i="3"/>
  <c r="AH86" i="3"/>
  <c r="AG86" i="3"/>
  <c r="S536" i="1"/>
  <c r="AF86" i="3"/>
  <c r="S332" i="1" s="1"/>
  <c r="AE86" i="3"/>
  <c r="S131" i="1"/>
  <c r="AH85" i="3"/>
  <c r="AG85" i="3"/>
  <c r="AF85" i="3"/>
  <c r="S331" i="1"/>
  <c r="AE85" i="3"/>
  <c r="AH84" i="3"/>
  <c r="AG84" i="3"/>
  <c r="AF84" i="3"/>
  <c r="S330" i="1"/>
  <c r="AE84" i="3"/>
  <c r="S130" i="1" s="1"/>
  <c r="AH83" i="3"/>
  <c r="AG83" i="3"/>
  <c r="AF83" i="3"/>
  <c r="AE83" i="3"/>
  <c r="S129" i="1"/>
  <c r="AH82" i="3"/>
  <c r="AG82" i="3"/>
  <c r="S534" i="1" s="1"/>
  <c r="AF82" i="3"/>
  <c r="S410" i="1" s="1"/>
  <c r="AE82" i="3"/>
  <c r="S128" i="1" s="1"/>
  <c r="AH81" i="3"/>
  <c r="AG81" i="3"/>
  <c r="AF81" i="3"/>
  <c r="AE81" i="3"/>
  <c r="S127" i="1"/>
  <c r="AH80" i="3"/>
  <c r="AG80" i="3"/>
  <c r="AF80" i="3"/>
  <c r="S409" i="1"/>
  <c r="AE80" i="3"/>
  <c r="S126" i="1" s="1"/>
  <c r="AH79" i="3"/>
  <c r="AG79" i="3"/>
  <c r="AF79" i="3"/>
  <c r="AE79" i="3"/>
  <c r="S125" i="1" s="1"/>
  <c r="AH78" i="3"/>
  <c r="AG78" i="3"/>
  <c r="AF78" i="3"/>
  <c r="AE78" i="3"/>
  <c r="S124" i="1"/>
  <c r="AH77" i="3"/>
  <c r="AG77" i="3"/>
  <c r="S535" i="1" s="1"/>
  <c r="AF77" i="3"/>
  <c r="AE77" i="3"/>
  <c r="S123" i="1"/>
  <c r="AH76" i="3"/>
  <c r="AG76" i="3"/>
  <c r="AF76" i="3"/>
  <c r="S408" i="1"/>
  <c r="AE76" i="3"/>
  <c r="S122" i="1"/>
  <c r="AH75" i="3"/>
  <c r="AG75" i="3"/>
  <c r="AF75" i="3"/>
  <c r="S407" i="1"/>
  <c r="AH74" i="3"/>
  <c r="AG74" i="3"/>
  <c r="AF74" i="3"/>
  <c r="AE74" i="3"/>
  <c r="S120" i="1" s="1"/>
  <c r="AH73" i="3"/>
  <c r="AG73" i="3"/>
  <c r="S533" i="1"/>
  <c r="AF73" i="3"/>
  <c r="S406" i="1"/>
  <c r="AE73" i="3"/>
  <c r="S119" i="1"/>
  <c r="AH72" i="3"/>
  <c r="AG72" i="3"/>
  <c r="AF72" i="3"/>
  <c r="S329" i="1"/>
  <c r="AE72" i="3"/>
  <c r="S626" i="1"/>
  <c r="AH71" i="3"/>
  <c r="AG71" i="3"/>
  <c r="AF71" i="3"/>
  <c r="S328" i="1"/>
  <c r="AE71" i="3"/>
  <c r="S118" i="1"/>
  <c r="AH70" i="3"/>
  <c r="AG70" i="3"/>
  <c r="AF70" i="3"/>
  <c r="S327" i="1"/>
  <c r="AE70" i="3"/>
  <c r="S624" i="1"/>
  <c r="AH69" i="3"/>
  <c r="AG69" i="3"/>
  <c r="S532" i="1" s="1"/>
  <c r="AF69" i="3"/>
  <c r="S405" i="1" s="1"/>
  <c r="AE69" i="3"/>
  <c r="S117" i="1" s="1"/>
  <c r="AH68" i="3"/>
  <c r="AG68" i="3"/>
  <c r="AF68" i="3"/>
  <c r="AE68" i="3"/>
  <c r="AH66" i="3"/>
  <c r="AG66" i="3"/>
  <c r="AF66" i="3"/>
  <c r="S403" i="1" s="1"/>
  <c r="AH65" i="3"/>
  <c r="AG65" i="3"/>
  <c r="S531" i="1"/>
  <c r="AF65" i="3"/>
  <c r="S402" i="1" s="1"/>
  <c r="AE65" i="3"/>
  <c r="AH64" i="3"/>
  <c r="AG64" i="3"/>
  <c r="S530" i="1" s="1"/>
  <c r="AF64" i="3"/>
  <c r="S401" i="1"/>
  <c r="AE64" i="3"/>
  <c r="S112" i="1" s="1"/>
  <c r="AH62" i="3"/>
  <c r="AG62" i="3"/>
  <c r="AF62" i="3"/>
  <c r="AE62" i="3"/>
  <c r="S111" i="1" s="1"/>
  <c r="AH61" i="3"/>
  <c r="AG61" i="3"/>
  <c r="S529" i="1" s="1"/>
  <c r="AF61" i="3"/>
  <c r="S398" i="1"/>
  <c r="AE61" i="3"/>
  <c r="S110" i="1" s="1"/>
  <c r="AH60" i="3"/>
  <c r="AG60" i="3"/>
  <c r="AF60" i="3"/>
  <c r="S399" i="1" s="1"/>
  <c r="AE60" i="3"/>
  <c r="S109" i="1"/>
  <c r="AH59" i="3"/>
  <c r="AG59" i="3"/>
  <c r="AF59" i="3"/>
  <c r="AE59" i="3"/>
  <c r="AH58" i="3"/>
  <c r="AG58" i="3"/>
  <c r="AF58" i="3"/>
  <c r="S396" i="1"/>
  <c r="AE58" i="3"/>
  <c r="S107" i="1" s="1"/>
  <c r="AH57" i="3"/>
  <c r="AG57" i="3"/>
  <c r="AF57" i="3"/>
  <c r="S395" i="1" s="1"/>
  <c r="AH56" i="3"/>
  <c r="AG56" i="3"/>
  <c r="AF56" i="3"/>
  <c r="S394" i="1" s="1"/>
  <c r="AE56" i="3"/>
  <c r="S105" i="1"/>
  <c r="AH55" i="3"/>
  <c r="AG55" i="3"/>
  <c r="S528" i="1" s="1"/>
  <c r="AF55" i="3"/>
  <c r="S326" i="1" s="1"/>
  <c r="AE55" i="3"/>
  <c r="AH54" i="3"/>
  <c r="AG54" i="3"/>
  <c r="S527" i="1" s="1"/>
  <c r="AF54" i="3"/>
  <c r="S325" i="1" s="1"/>
  <c r="AE54" i="3"/>
  <c r="S104" i="1"/>
  <c r="AH53" i="3"/>
  <c r="AG53" i="3"/>
  <c r="S526" i="1"/>
  <c r="AF53" i="3"/>
  <c r="S324" i="1" s="1"/>
  <c r="AE53" i="3"/>
  <c r="AH52" i="3"/>
  <c r="AG52" i="3"/>
  <c r="S525" i="1" s="1"/>
  <c r="AF52" i="3"/>
  <c r="S323" i="1"/>
  <c r="AE52" i="3"/>
  <c r="S103" i="1" s="1"/>
  <c r="AH51" i="3"/>
  <c r="AG51" i="3"/>
  <c r="S524" i="1" s="1"/>
  <c r="AF51" i="3"/>
  <c r="S322" i="1" s="1"/>
  <c r="AE51" i="3"/>
  <c r="AH50" i="3"/>
  <c r="AG50" i="3"/>
  <c r="S523" i="1" s="1"/>
  <c r="AF50" i="3"/>
  <c r="S321" i="1"/>
  <c r="AE50" i="3"/>
  <c r="AH43" i="3"/>
  <c r="AG43" i="3"/>
  <c r="AF43" i="3"/>
  <c r="S316" i="1" s="1"/>
  <c r="AE43" i="3"/>
  <c r="AH42" i="3"/>
  <c r="AG42" i="3"/>
  <c r="AF42" i="3"/>
  <c r="S315" i="1" s="1"/>
  <c r="AE42" i="3"/>
  <c r="AH41" i="3"/>
  <c r="AG41" i="3"/>
  <c r="AF41" i="3"/>
  <c r="S314" i="1"/>
  <c r="AE41" i="3"/>
  <c r="AH38" i="3"/>
  <c r="AG38" i="3"/>
  <c r="S522" i="1"/>
  <c r="AF38" i="3"/>
  <c r="AE38" i="3"/>
  <c r="S97" i="1" s="1"/>
  <c r="AH37" i="3"/>
  <c r="AG37" i="3"/>
  <c r="S521" i="1" s="1"/>
  <c r="AF37" i="3"/>
  <c r="S393" i="1"/>
  <c r="AE37" i="3"/>
  <c r="S96" i="1" s="1"/>
  <c r="AH36" i="3"/>
  <c r="AG36" i="3"/>
  <c r="S520" i="1" s="1"/>
  <c r="AF36" i="3"/>
  <c r="S392" i="1" s="1"/>
  <c r="AE36" i="3"/>
  <c r="S95" i="1" s="1"/>
  <c r="AH35" i="3"/>
  <c r="AG35" i="3"/>
  <c r="AF35" i="3"/>
  <c r="S391" i="1" s="1"/>
  <c r="AE35" i="3"/>
  <c r="S94" i="1" s="1"/>
  <c r="AH34" i="3"/>
  <c r="S588" i="1"/>
  <c r="AG34" i="3"/>
  <c r="S519" i="1" s="1"/>
  <c r="AF34" i="3"/>
  <c r="S390" i="1"/>
  <c r="AE34" i="3"/>
  <c r="S93" i="1" s="1"/>
  <c r="AH33" i="3"/>
  <c r="AG33" i="3"/>
  <c r="AF33" i="3"/>
  <c r="S389" i="1" s="1"/>
  <c r="AE33" i="3"/>
  <c r="S92" i="1" s="1"/>
  <c r="AH32" i="3"/>
  <c r="AG32" i="3"/>
  <c r="S518" i="1"/>
  <c r="AF32" i="3"/>
  <c r="S388" i="1" s="1"/>
  <c r="AE32" i="3"/>
  <c r="S91" i="1"/>
  <c r="AH31" i="3"/>
  <c r="AG31" i="3"/>
  <c r="AF31" i="3"/>
  <c r="S311" i="1"/>
  <c r="AE31" i="3"/>
  <c r="S90" i="1" s="1"/>
  <c r="AH30" i="3"/>
  <c r="AG30" i="3"/>
  <c r="AF30" i="3"/>
  <c r="S310" i="1"/>
  <c r="AE30" i="3"/>
  <c r="S622" i="1"/>
  <c r="AH29" i="3"/>
  <c r="AG29" i="3"/>
  <c r="AF29" i="3"/>
  <c r="S309" i="1"/>
  <c r="AE29" i="3"/>
  <c r="AH28" i="3"/>
  <c r="AG28" i="3"/>
  <c r="AF28" i="3"/>
  <c r="S308" i="1"/>
  <c r="AE28" i="3"/>
  <c r="AH27" i="3"/>
  <c r="AG27" i="3"/>
  <c r="AF27" i="3"/>
  <c r="S307" i="1"/>
  <c r="AE27" i="3"/>
  <c r="AH26" i="3"/>
  <c r="AG26" i="3"/>
  <c r="AF26" i="3"/>
  <c r="S306" i="1" s="1"/>
  <c r="AE26" i="3"/>
  <c r="AH25" i="3"/>
  <c r="AG25" i="3"/>
  <c r="AF25" i="3"/>
  <c r="S305" i="1"/>
  <c r="AE25" i="3"/>
  <c r="AH24" i="3"/>
  <c r="AG24" i="3"/>
  <c r="AF24" i="3"/>
  <c r="S304" i="1"/>
  <c r="AE24" i="3"/>
  <c r="AH23" i="3"/>
  <c r="AG23" i="3"/>
  <c r="AF23" i="3"/>
  <c r="S303" i="1"/>
  <c r="AE23" i="3"/>
  <c r="AH22" i="3"/>
  <c r="AG22" i="3"/>
  <c r="AF22" i="3"/>
  <c r="S302" i="1" s="1"/>
  <c r="AE22" i="3"/>
  <c r="AH21" i="3"/>
  <c r="AG21" i="3"/>
  <c r="AF21" i="3"/>
  <c r="S301" i="1"/>
  <c r="AE21" i="3"/>
  <c r="AH20" i="3"/>
  <c r="AG20" i="3"/>
  <c r="AF20" i="3"/>
  <c r="S300" i="1"/>
  <c r="AE20" i="3"/>
  <c r="AH19" i="3"/>
  <c r="AG19" i="3"/>
  <c r="AF19" i="3"/>
  <c r="S299" i="1" s="1"/>
  <c r="AE19" i="3"/>
  <c r="S620" i="1"/>
  <c r="AH18" i="3"/>
  <c r="AG18" i="3"/>
  <c r="AF18" i="3"/>
  <c r="AE18" i="3"/>
  <c r="S89" i="1"/>
  <c r="AH17" i="3"/>
  <c r="AG17" i="3"/>
  <c r="AF17" i="3"/>
  <c r="S387" i="1"/>
  <c r="AE17" i="3"/>
  <c r="S88" i="1" s="1"/>
  <c r="AH16" i="3"/>
  <c r="AG16" i="3"/>
  <c r="AF16" i="3"/>
  <c r="AE16" i="3"/>
  <c r="S87" i="1"/>
  <c r="AH15" i="3"/>
  <c r="AG15" i="3"/>
  <c r="AF15" i="3"/>
  <c r="S386" i="1"/>
  <c r="AE15" i="3"/>
  <c r="S86" i="1" s="1"/>
  <c r="AH14" i="3"/>
  <c r="AG14" i="3"/>
  <c r="AF14" i="3"/>
  <c r="S298" i="1" s="1"/>
  <c r="AE14" i="3"/>
  <c r="AH13" i="3"/>
  <c r="AG13" i="3"/>
  <c r="AF13" i="3"/>
  <c r="S385" i="1" s="1"/>
  <c r="AE13" i="3"/>
  <c r="S85" i="1"/>
  <c r="AH12" i="3"/>
  <c r="AG12" i="3"/>
  <c r="AF12" i="3"/>
  <c r="S384" i="1"/>
  <c r="AE12" i="3"/>
  <c r="S84" i="1" s="1"/>
  <c r="AH11" i="3"/>
  <c r="AG11" i="3"/>
  <c r="AF11" i="3"/>
  <c r="AE11" i="3"/>
  <c r="S82" i="1"/>
  <c r="AH9" i="3"/>
  <c r="S587" i="1"/>
  <c r="AG9" i="3"/>
  <c r="S517" i="1"/>
  <c r="AF9" i="3"/>
  <c r="S383" i="1"/>
  <c r="AE9" i="3"/>
  <c r="S81" i="1"/>
  <c r="AH8" i="3"/>
  <c r="AG8" i="3"/>
  <c r="AF8" i="3"/>
  <c r="S382" i="1"/>
  <c r="AE8" i="3"/>
  <c r="S80" i="1"/>
  <c r="AH7" i="3"/>
  <c r="AG7" i="3"/>
  <c r="S515" i="1"/>
  <c r="AF7" i="3"/>
  <c r="S381" i="1" s="1"/>
  <c r="AE7" i="3"/>
  <c r="S79" i="1"/>
  <c r="AH6" i="3"/>
  <c r="AG6" i="3"/>
  <c r="AF6" i="3"/>
  <c r="S380" i="1"/>
  <c r="AH5" i="3"/>
  <c r="AG5" i="3"/>
  <c r="AF5" i="3"/>
  <c r="S379" i="1"/>
  <c r="AE5" i="3"/>
  <c r="S77" i="1" s="1"/>
  <c r="AH4" i="3"/>
  <c r="AG4" i="3"/>
  <c r="AF4" i="3"/>
  <c r="S297" i="1" s="1"/>
  <c r="AE4" i="3"/>
  <c r="AH3" i="3"/>
  <c r="AG3" i="3"/>
  <c r="AF3" i="3"/>
  <c r="S296" i="1"/>
  <c r="AE3" i="3"/>
  <c r="S76" i="1"/>
  <c r="AH2" i="3"/>
  <c r="S586" i="1"/>
  <c r="AG2" i="3"/>
  <c r="S514" i="1"/>
  <c r="AF2" i="3"/>
  <c r="S378" i="1"/>
  <c r="AE2" i="3"/>
  <c r="S75" i="1"/>
  <c r="U943" i="1"/>
  <c r="R943" i="1"/>
  <c r="A943" i="1" s="1"/>
  <c r="U942" i="1"/>
  <c r="R942" i="1"/>
  <c r="A942" i="1" s="1"/>
  <c r="U941" i="1"/>
  <c r="R941" i="1"/>
  <c r="A941" i="1" s="1"/>
  <c r="U940" i="1"/>
  <c r="R940" i="1"/>
  <c r="A940" i="1" s="1"/>
  <c r="U939" i="1"/>
  <c r="R939" i="1"/>
  <c r="A939" i="1" s="1"/>
  <c r="A938" i="1"/>
  <c r="A937" i="1"/>
  <c r="A936" i="1"/>
  <c r="R935" i="1"/>
  <c r="A935" i="1" s="1"/>
  <c r="R934" i="1"/>
  <c r="A934" i="1" s="1"/>
  <c r="R933" i="1"/>
  <c r="A933" i="1" s="1"/>
  <c r="R932" i="1"/>
  <c r="A932" i="1" s="1"/>
  <c r="R931" i="1"/>
  <c r="A931" i="1" s="1"/>
  <c r="R930" i="1"/>
  <c r="A930" i="1" s="1"/>
  <c r="R929" i="1"/>
  <c r="A929" i="1" s="1"/>
  <c r="R928" i="1"/>
  <c r="A928" i="1" s="1"/>
  <c r="R927" i="1"/>
  <c r="A927" i="1" s="1"/>
  <c r="R923" i="1"/>
  <c r="A923" i="1" s="1"/>
  <c r="R922" i="1"/>
  <c r="A922" i="1" s="1"/>
  <c r="R921" i="1"/>
  <c r="A921" i="1" s="1"/>
  <c r="R919" i="1"/>
  <c r="A919" i="1" s="1"/>
  <c r="R918" i="1"/>
  <c r="A918" i="1" s="1"/>
  <c r="R917" i="1"/>
  <c r="A917" i="1" s="1"/>
  <c r="R916" i="1"/>
  <c r="A916" i="1" s="1"/>
  <c r="R915" i="1"/>
  <c r="A915" i="1" s="1"/>
  <c r="R914" i="1"/>
  <c r="A914" i="1" s="1"/>
  <c r="I910" i="1"/>
  <c r="Q904" i="1" s="1"/>
  <c r="U908" i="1"/>
  <c r="R908" i="1"/>
  <c r="A908" i="1" s="1"/>
  <c r="U907" i="1"/>
  <c r="R907" i="1"/>
  <c r="A907" i="1" s="1"/>
  <c r="R906" i="1"/>
  <c r="A906" i="1" s="1"/>
  <c r="R905" i="1"/>
  <c r="A905" i="1" s="1"/>
  <c r="R904" i="1"/>
  <c r="A904" i="1" s="1"/>
  <c r="U903" i="1"/>
  <c r="R903" i="1"/>
  <c r="A903" i="1" s="1"/>
  <c r="U902" i="1"/>
  <c r="R902" i="1"/>
  <c r="A902" i="1" s="1"/>
  <c r="U901" i="1"/>
  <c r="R901" i="1"/>
  <c r="A901" i="1" s="1"/>
  <c r="U900" i="1"/>
  <c r="R900" i="1"/>
  <c r="A900" i="1" s="1"/>
  <c r="U899" i="1"/>
  <c r="R899" i="1"/>
  <c r="A899" i="1" s="1"/>
  <c r="R898" i="1"/>
  <c r="A898" i="1" s="1"/>
  <c r="B894" i="1"/>
  <c r="R894" i="1" s="1"/>
  <c r="A894" i="1" s="1"/>
  <c r="R893" i="1"/>
  <c r="A893" i="1" s="1"/>
  <c r="R892" i="1"/>
  <c r="A892" i="1" s="1"/>
  <c r="R891" i="1"/>
  <c r="A891" i="1" s="1"/>
  <c r="R890" i="1"/>
  <c r="A890" i="1" s="1"/>
  <c r="R889" i="1"/>
  <c r="A889" i="1" s="1"/>
  <c r="R888" i="1"/>
  <c r="A888" i="1" s="1"/>
  <c r="R880" i="1"/>
  <c r="A880" i="1" s="1"/>
  <c r="R879" i="1"/>
  <c r="A879" i="1" s="1"/>
  <c r="R878" i="1"/>
  <c r="A878" i="1" s="1"/>
  <c r="R877" i="1"/>
  <c r="A877" i="1" s="1"/>
  <c r="U876" i="1"/>
  <c r="R876" i="1"/>
  <c r="A876" i="1" s="1"/>
  <c r="U875" i="1"/>
  <c r="R875" i="1"/>
  <c r="A875" i="1" s="1"/>
  <c r="U870" i="1"/>
  <c r="R870" i="1"/>
  <c r="A870" i="1" s="1"/>
  <c r="U868" i="1"/>
  <c r="R868" i="1"/>
  <c r="A868" i="1" s="1"/>
  <c r="U867" i="1"/>
  <c r="R867" i="1"/>
  <c r="A867" i="1" s="1"/>
  <c r="U866" i="1"/>
  <c r="R866" i="1"/>
  <c r="A866" i="1" s="1"/>
  <c r="U865" i="1"/>
  <c r="R865" i="1"/>
  <c r="A865" i="1" s="1"/>
  <c r="U864" i="1"/>
  <c r="R864" i="1"/>
  <c r="A864" i="1" s="1"/>
  <c r="U863" i="1"/>
  <c r="R863" i="1"/>
  <c r="A863" i="1" s="1"/>
  <c r="B859" i="1"/>
  <c r="R859" i="1" s="1"/>
  <c r="A859" i="1" s="1"/>
  <c r="U858" i="1"/>
  <c r="R858" i="1"/>
  <c r="A858" i="1" s="1"/>
  <c r="U857" i="1"/>
  <c r="R857" i="1"/>
  <c r="A857" i="1" s="1"/>
  <c r="U856" i="1"/>
  <c r="R856" i="1"/>
  <c r="A856" i="1" s="1"/>
  <c r="U855" i="1"/>
  <c r="R855" i="1"/>
  <c r="A855" i="1" s="1"/>
  <c r="U854" i="1"/>
  <c r="R854" i="1"/>
  <c r="A854" i="1" s="1"/>
  <c r="B850" i="1"/>
  <c r="R850" i="1" s="1"/>
  <c r="A850" i="1" s="1"/>
  <c r="U849" i="1"/>
  <c r="R849" i="1"/>
  <c r="A849" i="1" s="1"/>
  <c r="U848" i="1"/>
  <c r="R848" i="1"/>
  <c r="A848" i="1" s="1"/>
  <c r="U847" i="1"/>
  <c r="R847" i="1"/>
  <c r="A847" i="1" s="1"/>
  <c r="U846" i="1"/>
  <c r="R846" i="1"/>
  <c r="A846" i="1" s="1"/>
  <c r="U845" i="1"/>
  <c r="R845" i="1"/>
  <c r="A845" i="1" s="1"/>
  <c r="R841" i="1"/>
  <c r="A841" i="1" s="1"/>
  <c r="B837" i="1"/>
  <c r="R837" i="1" s="1"/>
  <c r="A837" i="1" s="1"/>
  <c r="U836" i="1"/>
  <c r="R836" i="1"/>
  <c r="A836" i="1" s="1"/>
  <c r="U835" i="1"/>
  <c r="R835" i="1"/>
  <c r="A835" i="1"/>
  <c r="U834" i="1"/>
  <c r="R834" i="1"/>
  <c r="A834" i="1" s="1"/>
  <c r="U829" i="1"/>
  <c r="R829" i="1"/>
  <c r="A829" i="1" s="1"/>
  <c r="U828" i="1"/>
  <c r="R828" i="1"/>
  <c r="A828" i="1" s="1"/>
  <c r="U827" i="1"/>
  <c r="R827" i="1"/>
  <c r="A827" i="1" s="1"/>
  <c r="U826" i="1"/>
  <c r="R826" i="1"/>
  <c r="A826" i="1" s="1"/>
  <c r="U825" i="1"/>
  <c r="R825" i="1"/>
  <c r="A825" i="1" s="1"/>
  <c r="U824" i="1"/>
  <c r="R824" i="1"/>
  <c r="A824" i="1" s="1"/>
  <c r="U823" i="1"/>
  <c r="R823" i="1"/>
  <c r="A823" i="1" s="1"/>
  <c r="U822" i="1"/>
  <c r="R822" i="1"/>
  <c r="A822" i="1" s="1"/>
  <c r="U821" i="1"/>
  <c r="R821" i="1"/>
  <c r="A821" i="1" s="1"/>
  <c r="U820" i="1"/>
  <c r="R820" i="1"/>
  <c r="A820" i="1" s="1"/>
  <c r="U819" i="1"/>
  <c r="R819" i="1"/>
  <c r="A819" i="1" s="1"/>
  <c r="U818" i="1"/>
  <c r="R818" i="1"/>
  <c r="A818" i="1" s="1"/>
  <c r="U817" i="1"/>
  <c r="R817" i="1"/>
  <c r="A817" i="1" s="1"/>
  <c r="U816" i="1"/>
  <c r="R816" i="1"/>
  <c r="A816" i="1" s="1"/>
  <c r="U815" i="1"/>
  <c r="R815" i="1"/>
  <c r="A815" i="1" s="1"/>
  <c r="U814" i="1"/>
  <c r="R814" i="1"/>
  <c r="A814" i="1" s="1"/>
  <c r="U813" i="1"/>
  <c r="R813" i="1"/>
  <c r="A813" i="1" s="1"/>
  <c r="U812" i="1"/>
  <c r="R812" i="1"/>
  <c r="A812" i="1" s="1"/>
  <c r="U811" i="1"/>
  <c r="R811" i="1"/>
  <c r="A811" i="1"/>
  <c r="U810" i="1"/>
  <c r="R810" i="1"/>
  <c r="A810" i="1" s="1"/>
  <c r="U809" i="1"/>
  <c r="R809" i="1"/>
  <c r="A809" i="1" s="1"/>
  <c r="U808" i="1"/>
  <c r="R808" i="1"/>
  <c r="A808" i="1" s="1"/>
  <c r="U807" i="1"/>
  <c r="R807" i="1"/>
  <c r="A807" i="1" s="1"/>
  <c r="U806" i="1"/>
  <c r="R806" i="1"/>
  <c r="A806" i="1" s="1"/>
  <c r="U805" i="1"/>
  <c r="R805" i="1"/>
  <c r="A805" i="1" s="1"/>
  <c r="U804" i="1"/>
  <c r="R804" i="1"/>
  <c r="A804" i="1" s="1"/>
  <c r="U803" i="1"/>
  <c r="R803" i="1"/>
  <c r="A803" i="1" s="1"/>
  <c r="U802" i="1"/>
  <c r="R802" i="1"/>
  <c r="A802" i="1" s="1"/>
  <c r="U801" i="1"/>
  <c r="R801" i="1"/>
  <c r="A801" i="1" s="1"/>
  <c r="U800" i="1"/>
  <c r="R800" i="1"/>
  <c r="A800" i="1" s="1"/>
  <c r="U799" i="1"/>
  <c r="R799" i="1"/>
  <c r="A799" i="1" s="1"/>
  <c r="U798" i="1"/>
  <c r="R798" i="1"/>
  <c r="A798" i="1" s="1"/>
  <c r="U797" i="1"/>
  <c r="R797" i="1"/>
  <c r="A797" i="1" s="1"/>
  <c r="U796" i="1"/>
  <c r="R796" i="1"/>
  <c r="A796" i="1" s="1"/>
  <c r="U795" i="1"/>
  <c r="R795" i="1"/>
  <c r="A795" i="1" s="1"/>
  <c r="U794" i="1"/>
  <c r="R794" i="1"/>
  <c r="A794" i="1" s="1"/>
  <c r="U793" i="1"/>
  <c r="R793" i="1"/>
  <c r="A793" i="1" s="1"/>
  <c r="U792" i="1"/>
  <c r="R792" i="1"/>
  <c r="A792" i="1" s="1"/>
  <c r="U742" i="1"/>
  <c r="R742" i="1"/>
  <c r="A742" i="1" s="1"/>
  <c r="U786" i="1"/>
  <c r="R786" i="1"/>
  <c r="A786" i="1" s="1"/>
  <c r="U785" i="1"/>
  <c r="R785" i="1"/>
  <c r="A785" i="1" s="1"/>
  <c r="U784" i="1"/>
  <c r="R784" i="1"/>
  <c r="A784" i="1" s="1"/>
  <c r="U783" i="1"/>
  <c r="R783" i="1"/>
  <c r="A783" i="1" s="1"/>
  <c r="U782" i="1"/>
  <c r="R782" i="1"/>
  <c r="A782" i="1" s="1"/>
  <c r="U781" i="1"/>
  <c r="R781" i="1"/>
  <c r="A781" i="1" s="1"/>
  <c r="U780" i="1"/>
  <c r="R780" i="1"/>
  <c r="A780" i="1" s="1"/>
  <c r="U779" i="1"/>
  <c r="R779" i="1"/>
  <c r="A779" i="1" s="1"/>
  <c r="U778" i="1"/>
  <c r="R778" i="1"/>
  <c r="A778" i="1" s="1"/>
  <c r="U777" i="1"/>
  <c r="R777" i="1"/>
  <c r="A777" i="1" s="1"/>
  <c r="U776" i="1"/>
  <c r="R776" i="1"/>
  <c r="A776" i="1" s="1"/>
  <c r="U775" i="1"/>
  <c r="R775" i="1"/>
  <c r="A775" i="1" s="1"/>
  <c r="U774" i="1"/>
  <c r="R774" i="1"/>
  <c r="A774" i="1" s="1"/>
  <c r="U773" i="1"/>
  <c r="R773" i="1"/>
  <c r="A773" i="1" s="1"/>
  <c r="U772" i="1"/>
  <c r="R772" i="1"/>
  <c r="A772" i="1" s="1"/>
  <c r="U771" i="1"/>
  <c r="R771" i="1"/>
  <c r="A771" i="1" s="1"/>
  <c r="U770" i="1"/>
  <c r="R770" i="1"/>
  <c r="A770" i="1" s="1"/>
  <c r="U769" i="1"/>
  <c r="R769" i="1"/>
  <c r="A769" i="1" s="1"/>
  <c r="U768" i="1"/>
  <c r="R768" i="1"/>
  <c r="A768" i="1" s="1"/>
  <c r="U767" i="1"/>
  <c r="R767" i="1"/>
  <c r="A767" i="1" s="1"/>
  <c r="U766" i="1"/>
  <c r="R766" i="1"/>
  <c r="A766" i="1" s="1"/>
  <c r="U765" i="1"/>
  <c r="R765" i="1"/>
  <c r="A765" i="1" s="1"/>
  <c r="U764" i="1"/>
  <c r="R764" i="1"/>
  <c r="A764" i="1" s="1"/>
  <c r="U763" i="1"/>
  <c r="R763" i="1"/>
  <c r="A763" i="1" s="1"/>
  <c r="U762" i="1"/>
  <c r="R762" i="1"/>
  <c r="A762" i="1" s="1"/>
  <c r="U761" i="1"/>
  <c r="R761" i="1"/>
  <c r="A761" i="1" s="1"/>
  <c r="U760" i="1"/>
  <c r="R760" i="1"/>
  <c r="A760" i="1" s="1"/>
  <c r="U759" i="1"/>
  <c r="R759" i="1"/>
  <c r="A759" i="1" s="1"/>
  <c r="U758" i="1"/>
  <c r="R758" i="1"/>
  <c r="A758" i="1" s="1"/>
  <c r="U757" i="1"/>
  <c r="R757" i="1"/>
  <c r="A757" i="1" s="1"/>
  <c r="U756" i="1"/>
  <c r="R756" i="1"/>
  <c r="A756" i="1" s="1"/>
  <c r="U755" i="1"/>
  <c r="R755" i="1"/>
  <c r="A755" i="1" s="1"/>
  <c r="U754" i="1"/>
  <c r="R754" i="1"/>
  <c r="A754" i="1" s="1"/>
  <c r="U753" i="1"/>
  <c r="R753" i="1"/>
  <c r="A753" i="1" s="1"/>
  <c r="U752" i="1"/>
  <c r="R752" i="1"/>
  <c r="A752" i="1" s="1"/>
  <c r="U751" i="1"/>
  <c r="R751" i="1"/>
  <c r="A751" i="1" s="1"/>
  <c r="U750" i="1"/>
  <c r="R750" i="1"/>
  <c r="A750" i="1" s="1"/>
  <c r="U749" i="1"/>
  <c r="R749" i="1"/>
  <c r="A749" i="1" s="1"/>
  <c r="U748" i="1"/>
  <c r="R748" i="1"/>
  <c r="A748" i="1" s="1"/>
  <c r="U745" i="1"/>
  <c r="R745" i="1"/>
  <c r="A745" i="1" s="1"/>
  <c r="U743" i="1"/>
  <c r="R743" i="1"/>
  <c r="A743" i="1" s="1"/>
  <c r="U741" i="1"/>
  <c r="R741" i="1"/>
  <c r="A741" i="1" s="1"/>
  <c r="U740" i="1"/>
  <c r="R740" i="1"/>
  <c r="A740" i="1" s="1"/>
  <c r="U739" i="1"/>
  <c r="R739" i="1"/>
  <c r="A739" i="1" s="1"/>
  <c r="U734" i="1"/>
  <c r="R734" i="1"/>
  <c r="A734" i="1" s="1"/>
  <c r="U733" i="1"/>
  <c r="R733" i="1"/>
  <c r="A733" i="1" s="1"/>
  <c r="U732" i="1"/>
  <c r="R732" i="1"/>
  <c r="A732" i="1"/>
  <c r="U731" i="1"/>
  <c r="R731" i="1"/>
  <c r="A731" i="1" s="1"/>
  <c r="U730" i="1"/>
  <c r="R730" i="1"/>
  <c r="A730" i="1" s="1"/>
  <c r="U729" i="1"/>
  <c r="R729" i="1"/>
  <c r="A729" i="1"/>
  <c r="U728" i="1"/>
  <c r="R728" i="1"/>
  <c r="A728" i="1" s="1"/>
  <c r="H723" i="1"/>
  <c r="Q723" i="1" s="1"/>
  <c r="U722" i="1"/>
  <c r="R722" i="1"/>
  <c r="A722" i="1" s="1"/>
  <c r="U721" i="1"/>
  <c r="R721" i="1"/>
  <c r="A721" i="1" s="1"/>
  <c r="U719" i="1"/>
  <c r="R719" i="1"/>
  <c r="A719" i="1" s="1"/>
  <c r="U718" i="1"/>
  <c r="R718" i="1"/>
  <c r="A718" i="1" s="1"/>
  <c r="U717" i="1"/>
  <c r="R717" i="1"/>
  <c r="A717" i="1" s="1"/>
  <c r="U716" i="1"/>
  <c r="R716" i="1"/>
  <c r="A716" i="1" s="1"/>
  <c r="U715" i="1"/>
  <c r="R715" i="1"/>
  <c r="A715" i="1" s="1"/>
  <c r="U692" i="1"/>
  <c r="R692" i="1"/>
  <c r="A692" i="1" s="1"/>
  <c r="U691" i="1"/>
  <c r="R691" i="1"/>
  <c r="A691" i="1" s="1"/>
  <c r="U690" i="1"/>
  <c r="R690" i="1"/>
  <c r="A690" i="1" s="1"/>
  <c r="U689" i="1"/>
  <c r="R689" i="1"/>
  <c r="A689" i="1" s="1"/>
  <c r="U688" i="1"/>
  <c r="R688" i="1"/>
  <c r="A688" i="1"/>
  <c r="U686" i="1"/>
  <c r="R686" i="1"/>
  <c r="A686" i="1" s="1"/>
  <c r="R685" i="1"/>
  <c r="A685" i="1"/>
  <c r="U684" i="1"/>
  <c r="R684" i="1"/>
  <c r="A684" i="1" s="1"/>
  <c r="U683" i="1"/>
  <c r="R683" i="1"/>
  <c r="A683" i="1" s="1"/>
  <c r="U682" i="1"/>
  <c r="R682" i="1"/>
  <c r="A682" i="1" s="1"/>
  <c r="U681" i="1"/>
  <c r="R681" i="1"/>
  <c r="A681" i="1" s="1"/>
  <c r="U680" i="1"/>
  <c r="R680" i="1"/>
  <c r="A680" i="1" s="1"/>
  <c r="U679" i="1"/>
  <c r="R679" i="1"/>
  <c r="A679" i="1" s="1"/>
  <c r="U678" i="1"/>
  <c r="R678" i="1"/>
  <c r="A678" i="1" s="1"/>
  <c r="U677" i="1"/>
  <c r="R677" i="1"/>
  <c r="A677" i="1" s="1"/>
  <c r="U676" i="1"/>
  <c r="R676" i="1"/>
  <c r="A676" i="1" s="1"/>
  <c r="U675" i="1"/>
  <c r="R675" i="1"/>
  <c r="A675" i="1" s="1"/>
  <c r="U674" i="1"/>
  <c r="R674" i="1"/>
  <c r="A674" i="1" s="1"/>
  <c r="R668" i="1"/>
  <c r="A668" i="1" s="1"/>
  <c r="R667" i="1"/>
  <c r="A667" i="1" s="1"/>
  <c r="R665" i="1"/>
  <c r="A665" i="1" s="1"/>
  <c r="R663" i="1"/>
  <c r="A663" i="1" s="1"/>
  <c r="R662" i="1"/>
  <c r="A662" i="1" s="1"/>
  <c r="R661" i="1"/>
  <c r="A661" i="1" s="1"/>
  <c r="U656" i="1"/>
  <c r="R656" i="1"/>
  <c r="A656" i="1" s="1"/>
  <c r="U655" i="1"/>
  <c r="R655" i="1"/>
  <c r="A655" i="1" s="1"/>
  <c r="U654" i="1"/>
  <c r="R654" i="1"/>
  <c r="A654" i="1" s="1"/>
  <c r="U653" i="1"/>
  <c r="R653" i="1"/>
  <c r="A653" i="1" s="1"/>
  <c r="U652" i="1"/>
  <c r="R652" i="1"/>
  <c r="A652" i="1" s="1"/>
  <c r="U651" i="1"/>
  <c r="R651" i="1"/>
  <c r="A651" i="1" s="1"/>
  <c r="U649" i="1"/>
  <c r="R649" i="1"/>
  <c r="A649" i="1"/>
  <c r="U648" i="1"/>
  <c r="R648" i="1"/>
  <c r="A648" i="1" s="1"/>
  <c r="U647" i="1"/>
  <c r="R647" i="1"/>
  <c r="A647" i="1" s="1"/>
  <c r="U646" i="1"/>
  <c r="R646" i="1"/>
  <c r="A646" i="1" s="1"/>
  <c r="U645" i="1"/>
  <c r="R645" i="1"/>
  <c r="A645" i="1" s="1"/>
  <c r="U643" i="1"/>
  <c r="R643" i="1"/>
  <c r="A643" i="1" s="1"/>
  <c r="U637" i="1"/>
  <c r="R637" i="1"/>
  <c r="A637" i="1" s="1"/>
  <c r="B631" i="1"/>
  <c r="R631" i="1" s="1"/>
  <c r="A631" i="1" s="1"/>
  <c r="U630" i="1"/>
  <c r="R630" i="1"/>
  <c r="A630" i="1" s="1"/>
  <c r="U629" i="1"/>
  <c r="R629" i="1"/>
  <c r="A629" i="1" s="1"/>
  <c r="U628" i="1"/>
  <c r="R628" i="1"/>
  <c r="A628" i="1"/>
  <c r="U627" i="1"/>
  <c r="R627" i="1"/>
  <c r="A627" i="1" s="1"/>
  <c r="U626" i="1"/>
  <c r="R626" i="1"/>
  <c r="A626" i="1" s="1"/>
  <c r="U625" i="1"/>
  <c r="R625" i="1"/>
  <c r="A625" i="1" s="1"/>
  <c r="U624" i="1"/>
  <c r="R624" i="1"/>
  <c r="A624" i="1" s="1"/>
  <c r="U623" i="1"/>
  <c r="R623" i="1"/>
  <c r="A623" i="1" s="1"/>
  <c r="U622" i="1"/>
  <c r="R622" i="1"/>
  <c r="A622" i="1" s="1"/>
  <c r="U621" i="1"/>
  <c r="R621" i="1"/>
  <c r="A621" i="1" s="1"/>
  <c r="U620" i="1"/>
  <c r="R620" i="1"/>
  <c r="A620" i="1" s="1"/>
  <c r="U619" i="1"/>
  <c r="R619" i="1"/>
  <c r="A619" i="1" s="1"/>
  <c r="U614" i="1"/>
  <c r="R614" i="1"/>
  <c r="A614" i="1" s="1"/>
  <c r="U613" i="1"/>
  <c r="R613" i="1"/>
  <c r="A613" i="1" s="1"/>
  <c r="U612" i="1"/>
  <c r="R612" i="1"/>
  <c r="A612" i="1" s="1"/>
  <c r="U611" i="1"/>
  <c r="R611" i="1"/>
  <c r="A611" i="1" s="1"/>
  <c r="U610" i="1"/>
  <c r="R610" i="1"/>
  <c r="A610" i="1" s="1"/>
  <c r="U609" i="1"/>
  <c r="R609" i="1"/>
  <c r="A609" i="1" s="1"/>
  <c r="U608" i="1"/>
  <c r="R608" i="1"/>
  <c r="A608" i="1" s="1"/>
  <c r="U607" i="1"/>
  <c r="R607" i="1"/>
  <c r="A607" i="1" s="1"/>
  <c r="U606" i="1"/>
  <c r="R606" i="1"/>
  <c r="A606" i="1" s="1"/>
  <c r="U605" i="1"/>
  <c r="R605" i="1"/>
  <c r="A605" i="1" s="1"/>
  <c r="U604" i="1"/>
  <c r="R604" i="1"/>
  <c r="A604" i="1" s="1"/>
  <c r="B600" i="1"/>
  <c r="R600" i="1" s="1"/>
  <c r="A600" i="1" s="1"/>
  <c r="U599" i="1"/>
  <c r="R599" i="1"/>
  <c r="A599" i="1" s="1"/>
  <c r="U598" i="1"/>
  <c r="R598" i="1"/>
  <c r="A598" i="1" s="1"/>
  <c r="U597" i="1"/>
  <c r="R597" i="1"/>
  <c r="A597" i="1" s="1"/>
  <c r="U596" i="1"/>
  <c r="R596" i="1"/>
  <c r="A596" i="1" s="1"/>
  <c r="U595" i="1"/>
  <c r="R595" i="1"/>
  <c r="A595" i="1" s="1"/>
  <c r="U594" i="1"/>
  <c r="R594" i="1"/>
  <c r="A594" i="1" s="1"/>
  <c r="U593" i="1"/>
  <c r="R593" i="1"/>
  <c r="A593" i="1" s="1"/>
  <c r="U592" i="1"/>
  <c r="R592" i="1"/>
  <c r="A592" i="1" s="1"/>
  <c r="U591" i="1"/>
  <c r="R591" i="1"/>
  <c r="A591" i="1" s="1"/>
  <c r="U590" i="1"/>
  <c r="R590" i="1"/>
  <c r="A590" i="1" s="1"/>
  <c r="U589" i="1"/>
  <c r="R589" i="1"/>
  <c r="A589" i="1" s="1"/>
  <c r="U588" i="1"/>
  <c r="R588" i="1"/>
  <c r="A588" i="1" s="1"/>
  <c r="U587" i="1"/>
  <c r="R587" i="1"/>
  <c r="A587" i="1" s="1"/>
  <c r="U586" i="1"/>
  <c r="R586" i="1"/>
  <c r="A586" i="1"/>
  <c r="U581" i="1"/>
  <c r="R581" i="1"/>
  <c r="A581" i="1" s="1"/>
  <c r="U580" i="1"/>
  <c r="R580" i="1"/>
  <c r="A580" i="1" s="1"/>
  <c r="U579" i="1"/>
  <c r="R579" i="1"/>
  <c r="A579" i="1" s="1"/>
  <c r="U578" i="1"/>
  <c r="R578" i="1"/>
  <c r="A578" i="1" s="1"/>
  <c r="U577" i="1"/>
  <c r="R577" i="1"/>
  <c r="A577" i="1" s="1"/>
  <c r="U576" i="1"/>
  <c r="R576" i="1"/>
  <c r="A576" i="1" s="1"/>
  <c r="U575" i="1"/>
  <c r="R575" i="1"/>
  <c r="A575" i="1" s="1"/>
  <c r="U574" i="1"/>
  <c r="R574" i="1"/>
  <c r="A574" i="1" s="1"/>
  <c r="U573" i="1"/>
  <c r="R573" i="1"/>
  <c r="A573" i="1" s="1"/>
  <c r="U572" i="1"/>
  <c r="R572" i="1"/>
  <c r="A572" i="1" s="1"/>
  <c r="U571" i="1"/>
  <c r="R571" i="1"/>
  <c r="A571" i="1" s="1"/>
  <c r="U570" i="1"/>
  <c r="R570" i="1"/>
  <c r="A570" i="1" s="1"/>
  <c r="U569" i="1"/>
  <c r="R569" i="1"/>
  <c r="A569" i="1" s="1"/>
  <c r="U568" i="1"/>
  <c r="R568" i="1"/>
  <c r="A568" i="1" s="1"/>
  <c r="U566" i="1"/>
  <c r="R566" i="1"/>
  <c r="A566" i="1" s="1"/>
  <c r="U565" i="1"/>
  <c r="R565" i="1"/>
  <c r="A565" i="1" s="1"/>
  <c r="U563" i="1"/>
  <c r="R563" i="1"/>
  <c r="A563" i="1" s="1"/>
  <c r="U562" i="1"/>
  <c r="R562" i="1"/>
  <c r="A562" i="1" s="1"/>
  <c r="U561" i="1"/>
  <c r="R561" i="1"/>
  <c r="A561" i="1" s="1"/>
  <c r="U560" i="1"/>
  <c r="R560" i="1"/>
  <c r="A560" i="1" s="1"/>
  <c r="U559" i="1"/>
  <c r="R559" i="1"/>
  <c r="A559" i="1" s="1"/>
  <c r="U558" i="1"/>
  <c r="R558" i="1"/>
  <c r="A558" i="1" s="1"/>
  <c r="U557" i="1"/>
  <c r="R557" i="1"/>
  <c r="A557" i="1" s="1"/>
  <c r="U555" i="1"/>
  <c r="R555" i="1"/>
  <c r="A555" i="1" s="1"/>
  <c r="U554" i="1"/>
  <c r="R554" i="1"/>
  <c r="A554" i="1" s="1"/>
  <c r="U553" i="1"/>
  <c r="R553" i="1"/>
  <c r="A553" i="1" s="1"/>
  <c r="U552" i="1"/>
  <c r="R552" i="1"/>
  <c r="A552" i="1" s="1"/>
  <c r="U551" i="1"/>
  <c r="R551" i="1"/>
  <c r="A551" i="1" s="1"/>
  <c r="U550" i="1"/>
  <c r="R550" i="1"/>
  <c r="A550" i="1" s="1"/>
  <c r="U549" i="1"/>
  <c r="R549" i="1"/>
  <c r="A549" i="1" s="1"/>
  <c r="U548" i="1"/>
  <c r="R548" i="1"/>
  <c r="A548" i="1" s="1"/>
  <c r="U547" i="1"/>
  <c r="R547" i="1"/>
  <c r="A547" i="1" s="1"/>
  <c r="U546" i="1"/>
  <c r="R546" i="1"/>
  <c r="A546" i="1" s="1"/>
  <c r="U545" i="1"/>
  <c r="R545" i="1"/>
  <c r="A545" i="1" s="1"/>
  <c r="U544" i="1"/>
  <c r="R544" i="1"/>
  <c r="A544" i="1" s="1"/>
  <c r="U543" i="1"/>
  <c r="R543" i="1"/>
  <c r="A543" i="1" s="1"/>
  <c r="U542" i="1"/>
  <c r="R542" i="1"/>
  <c r="A542" i="1" s="1"/>
  <c r="U541" i="1"/>
  <c r="R541" i="1"/>
  <c r="A541" i="1" s="1"/>
  <c r="U540" i="1"/>
  <c r="R540" i="1"/>
  <c r="A540" i="1" s="1"/>
  <c r="U539" i="1"/>
  <c r="R539" i="1"/>
  <c r="A539" i="1" s="1"/>
  <c r="U537" i="1"/>
  <c r="R537" i="1"/>
  <c r="A537" i="1" s="1"/>
  <c r="U536" i="1"/>
  <c r="R536" i="1"/>
  <c r="A536" i="1" s="1"/>
  <c r="U534" i="1"/>
  <c r="R534" i="1"/>
  <c r="A534" i="1" s="1"/>
  <c r="U533" i="1"/>
  <c r="R533" i="1"/>
  <c r="A533" i="1" s="1"/>
  <c r="U532" i="1"/>
  <c r="R532" i="1"/>
  <c r="A532" i="1" s="1"/>
  <c r="U531" i="1"/>
  <c r="R531" i="1"/>
  <c r="A531" i="1" s="1"/>
  <c r="U530" i="1"/>
  <c r="R530" i="1"/>
  <c r="A530" i="1" s="1"/>
  <c r="U529" i="1"/>
  <c r="R529" i="1"/>
  <c r="A529" i="1" s="1"/>
  <c r="U528" i="1"/>
  <c r="R528" i="1"/>
  <c r="A528" i="1" s="1"/>
  <c r="U527" i="1"/>
  <c r="R527" i="1"/>
  <c r="A527" i="1" s="1"/>
  <c r="U526" i="1"/>
  <c r="R526" i="1"/>
  <c r="A526" i="1" s="1"/>
  <c r="U525" i="1"/>
  <c r="R525" i="1"/>
  <c r="A525" i="1" s="1"/>
  <c r="U524" i="1"/>
  <c r="R524" i="1"/>
  <c r="A524" i="1" s="1"/>
  <c r="U523" i="1"/>
  <c r="R523" i="1"/>
  <c r="A523" i="1" s="1"/>
  <c r="U522" i="1"/>
  <c r="R522" i="1"/>
  <c r="A522" i="1" s="1"/>
  <c r="U521" i="1"/>
  <c r="R521" i="1"/>
  <c r="A521" i="1" s="1"/>
  <c r="U520" i="1"/>
  <c r="R520" i="1"/>
  <c r="A520" i="1" s="1"/>
  <c r="U519" i="1"/>
  <c r="R519" i="1"/>
  <c r="A519" i="1" s="1"/>
  <c r="U518" i="1"/>
  <c r="R518" i="1"/>
  <c r="A518" i="1" s="1"/>
  <c r="U517" i="1"/>
  <c r="R517" i="1"/>
  <c r="A517" i="1" s="1"/>
  <c r="U516" i="1"/>
  <c r="R516" i="1"/>
  <c r="A516" i="1" s="1"/>
  <c r="U515" i="1"/>
  <c r="R515" i="1"/>
  <c r="A515" i="1" s="1"/>
  <c r="U514" i="1"/>
  <c r="R514" i="1"/>
  <c r="A514" i="1" s="1"/>
  <c r="U504" i="1"/>
  <c r="R504" i="1"/>
  <c r="A504" i="1"/>
  <c r="U491" i="1"/>
  <c r="R491" i="1"/>
  <c r="A491" i="1" s="1"/>
  <c r="U490" i="1"/>
  <c r="R490" i="1"/>
  <c r="A490" i="1" s="1"/>
  <c r="U489" i="1"/>
  <c r="R489" i="1"/>
  <c r="A489" i="1" s="1"/>
  <c r="U488" i="1"/>
  <c r="R488" i="1"/>
  <c r="A488" i="1" s="1"/>
  <c r="U487" i="1"/>
  <c r="R487" i="1"/>
  <c r="A487" i="1" s="1"/>
  <c r="U486" i="1"/>
  <c r="R486" i="1"/>
  <c r="A486" i="1" s="1"/>
  <c r="U485" i="1"/>
  <c r="R485" i="1"/>
  <c r="A485" i="1" s="1"/>
  <c r="U484" i="1"/>
  <c r="R484" i="1"/>
  <c r="A484" i="1" s="1"/>
  <c r="U482" i="1"/>
  <c r="R482" i="1"/>
  <c r="A482" i="1" s="1"/>
  <c r="U480" i="1"/>
  <c r="R480" i="1"/>
  <c r="A480" i="1" s="1"/>
  <c r="U479" i="1"/>
  <c r="R479" i="1"/>
  <c r="A479" i="1" s="1"/>
  <c r="U478" i="1"/>
  <c r="R478" i="1"/>
  <c r="A478" i="1" s="1"/>
  <c r="U476" i="1"/>
  <c r="R476" i="1"/>
  <c r="A476" i="1" s="1"/>
  <c r="U475" i="1"/>
  <c r="R475" i="1"/>
  <c r="A475" i="1" s="1"/>
  <c r="U474" i="1"/>
  <c r="R474" i="1"/>
  <c r="A474" i="1" s="1"/>
  <c r="U473" i="1"/>
  <c r="R473" i="1"/>
  <c r="A473" i="1" s="1"/>
  <c r="U472" i="1"/>
  <c r="R472" i="1"/>
  <c r="A472" i="1" s="1"/>
  <c r="U470" i="1"/>
  <c r="R470" i="1"/>
  <c r="A470" i="1" s="1"/>
  <c r="U469" i="1"/>
  <c r="R469" i="1"/>
  <c r="A469" i="1"/>
  <c r="U468" i="1"/>
  <c r="R468" i="1"/>
  <c r="A468" i="1" s="1"/>
  <c r="U467" i="1"/>
  <c r="R467" i="1"/>
  <c r="A467" i="1" s="1"/>
  <c r="U465" i="1"/>
  <c r="R465" i="1"/>
  <c r="A465" i="1" s="1"/>
  <c r="U464" i="1"/>
  <c r="R464" i="1"/>
  <c r="A464" i="1" s="1"/>
  <c r="U463" i="1"/>
  <c r="R463" i="1"/>
  <c r="A463" i="1" s="1"/>
  <c r="U462" i="1"/>
  <c r="R462" i="1"/>
  <c r="A462" i="1" s="1"/>
  <c r="U461" i="1"/>
  <c r="R461" i="1"/>
  <c r="A461" i="1" s="1"/>
  <c r="U460" i="1"/>
  <c r="R460" i="1"/>
  <c r="A460" i="1" s="1"/>
  <c r="U459" i="1"/>
  <c r="R459" i="1"/>
  <c r="A459" i="1" s="1"/>
  <c r="U458" i="1"/>
  <c r="R458" i="1"/>
  <c r="A458" i="1" s="1"/>
  <c r="U457" i="1"/>
  <c r="R457" i="1"/>
  <c r="A457" i="1" s="1"/>
  <c r="U456" i="1"/>
  <c r="R456" i="1"/>
  <c r="A456" i="1" s="1"/>
  <c r="U455" i="1"/>
  <c r="R455" i="1"/>
  <c r="A455" i="1" s="1"/>
  <c r="U454" i="1"/>
  <c r="R454" i="1"/>
  <c r="A454" i="1" s="1"/>
  <c r="U452" i="1"/>
  <c r="R452" i="1"/>
  <c r="A452" i="1" s="1"/>
  <c r="U451" i="1"/>
  <c r="R451" i="1"/>
  <c r="A451" i="1" s="1"/>
  <c r="U450" i="1"/>
  <c r="R450" i="1"/>
  <c r="A450" i="1" s="1"/>
  <c r="U449" i="1"/>
  <c r="R449" i="1"/>
  <c r="A449" i="1" s="1"/>
  <c r="U448" i="1"/>
  <c r="R448" i="1"/>
  <c r="A448" i="1" s="1"/>
  <c r="U447" i="1"/>
  <c r="R447" i="1"/>
  <c r="A447" i="1"/>
  <c r="U446" i="1"/>
  <c r="R446" i="1"/>
  <c r="A446" i="1" s="1"/>
  <c r="U445" i="1"/>
  <c r="R445" i="1"/>
  <c r="A445" i="1" s="1"/>
  <c r="U444" i="1"/>
  <c r="R444" i="1"/>
  <c r="A444" i="1" s="1"/>
  <c r="U443" i="1"/>
  <c r="R443" i="1"/>
  <c r="A443" i="1" s="1"/>
  <c r="U442" i="1"/>
  <c r="R442" i="1"/>
  <c r="A442" i="1" s="1"/>
  <c r="U441" i="1"/>
  <c r="R441" i="1"/>
  <c r="A441" i="1" s="1"/>
  <c r="U440" i="1"/>
  <c r="R440" i="1"/>
  <c r="A440" i="1" s="1"/>
  <c r="U438" i="1"/>
  <c r="R438" i="1"/>
  <c r="A438" i="1" s="1"/>
  <c r="U437" i="1"/>
  <c r="R437" i="1"/>
  <c r="A437" i="1" s="1"/>
  <c r="U436" i="1"/>
  <c r="R436" i="1"/>
  <c r="A436" i="1" s="1"/>
  <c r="U435" i="1"/>
  <c r="R435" i="1"/>
  <c r="A435" i="1" s="1"/>
  <c r="U434" i="1"/>
  <c r="R434" i="1"/>
  <c r="A434" i="1" s="1"/>
  <c r="U433" i="1"/>
  <c r="R433" i="1"/>
  <c r="A433" i="1" s="1"/>
  <c r="U432" i="1"/>
  <c r="R432" i="1"/>
  <c r="A432" i="1" s="1"/>
  <c r="U431" i="1"/>
  <c r="R431" i="1"/>
  <c r="A431" i="1" s="1"/>
  <c r="U430" i="1"/>
  <c r="R430" i="1"/>
  <c r="A430" i="1" s="1"/>
  <c r="U429" i="1"/>
  <c r="R429" i="1"/>
  <c r="A429" i="1" s="1"/>
  <c r="U428" i="1"/>
  <c r="R428" i="1"/>
  <c r="A428" i="1" s="1"/>
  <c r="U427" i="1"/>
  <c r="R427" i="1"/>
  <c r="A427" i="1" s="1"/>
  <c r="U426" i="1"/>
  <c r="R426" i="1"/>
  <c r="A426" i="1" s="1"/>
  <c r="U425" i="1"/>
  <c r="R425" i="1"/>
  <c r="A425" i="1" s="1"/>
  <c r="U424" i="1"/>
  <c r="R424" i="1"/>
  <c r="A424" i="1" s="1"/>
  <c r="U423" i="1"/>
  <c r="R423" i="1"/>
  <c r="A423" i="1" s="1"/>
  <c r="U422" i="1"/>
  <c r="R422" i="1"/>
  <c r="A422" i="1" s="1"/>
  <c r="U420" i="1"/>
  <c r="R420" i="1"/>
  <c r="A420" i="1" s="1"/>
  <c r="U418" i="1"/>
  <c r="R418" i="1"/>
  <c r="A418" i="1" s="1"/>
  <c r="U417" i="1"/>
  <c r="R417" i="1"/>
  <c r="A417" i="1" s="1"/>
  <c r="U415" i="1"/>
  <c r="R415" i="1"/>
  <c r="A415" i="1" s="1"/>
  <c r="U414" i="1"/>
  <c r="R414" i="1"/>
  <c r="A414" i="1" s="1"/>
  <c r="U413" i="1"/>
  <c r="R413" i="1"/>
  <c r="A413" i="1" s="1"/>
  <c r="U412" i="1"/>
  <c r="R412" i="1"/>
  <c r="A412" i="1" s="1"/>
  <c r="U411" i="1"/>
  <c r="R411" i="1"/>
  <c r="A411" i="1" s="1"/>
  <c r="U410" i="1"/>
  <c r="R410" i="1"/>
  <c r="A410" i="1" s="1"/>
  <c r="U408" i="1"/>
  <c r="R408" i="1"/>
  <c r="A408" i="1" s="1"/>
  <c r="U407" i="1"/>
  <c r="R407" i="1"/>
  <c r="A407" i="1" s="1"/>
  <c r="U406" i="1"/>
  <c r="R406" i="1"/>
  <c r="A406" i="1" s="1"/>
  <c r="U405" i="1"/>
  <c r="R405" i="1"/>
  <c r="A405" i="1" s="1"/>
  <c r="U403" i="1"/>
  <c r="R403" i="1"/>
  <c r="A403" i="1" s="1"/>
  <c r="U402" i="1"/>
  <c r="R402" i="1"/>
  <c r="A402" i="1" s="1"/>
  <c r="U401" i="1"/>
  <c r="R401" i="1"/>
  <c r="A401" i="1" s="1"/>
  <c r="U399" i="1"/>
  <c r="R399" i="1"/>
  <c r="A399" i="1" s="1"/>
  <c r="U398" i="1"/>
  <c r="R398" i="1"/>
  <c r="A398" i="1" s="1"/>
  <c r="U396" i="1"/>
  <c r="R396" i="1"/>
  <c r="A396" i="1" s="1"/>
  <c r="U395" i="1"/>
  <c r="R395" i="1"/>
  <c r="A395" i="1" s="1"/>
  <c r="U393" i="1"/>
  <c r="R393" i="1"/>
  <c r="A393" i="1" s="1"/>
  <c r="U392" i="1"/>
  <c r="R392" i="1"/>
  <c r="A392" i="1" s="1"/>
  <c r="U391" i="1"/>
  <c r="R391" i="1"/>
  <c r="A391" i="1" s="1"/>
  <c r="U390" i="1"/>
  <c r="R390" i="1"/>
  <c r="A390" i="1" s="1"/>
  <c r="U389" i="1"/>
  <c r="R389" i="1"/>
  <c r="A389" i="1" s="1"/>
  <c r="U388" i="1"/>
  <c r="R388" i="1"/>
  <c r="A388" i="1" s="1"/>
  <c r="U387" i="1"/>
  <c r="R387" i="1"/>
  <c r="A387" i="1" s="1"/>
  <c r="U386" i="1"/>
  <c r="R386" i="1"/>
  <c r="A386" i="1" s="1"/>
  <c r="U385" i="1"/>
  <c r="R385" i="1"/>
  <c r="A385" i="1"/>
  <c r="U384" i="1"/>
  <c r="R384" i="1"/>
  <c r="A384" i="1" s="1"/>
  <c r="U383" i="1"/>
  <c r="R383" i="1"/>
  <c r="A383" i="1" s="1"/>
  <c r="U382" i="1"/>
  <c r="R382" i="1"/>
  <c r="A382" i="1" s="1"/>
  <c r="U381" i="1"/>
  <c r="R381" i="1"/>
  <c r="A381" i="1" s="1"/>
  <c r="U380" i="1"/>
  <c r="R380" i="1"/>
  <c r="A380" i="1"/>
  <c r="U379" i="1"/>
  <c r="R379" i="1"/>
  <c r="A379" i="1" s="1"/>
  <c r="U378" i="1"/>
  <c r="R378" i="1"/>
  <c r="A378" i="1" s="1"/>
  <c r="U373" i="1"/>
  <c r="R373" i="1"/>
  <c r="A373" i="1" s="1"/>
  <c r="U372" i="1"/>
  <c r="R372" i="1"/>
  <c r="A372" i="1" s="1"/>
  <c r="U371" i="1"/>
  <c r="R371" i="1"/>
  <c r="A371" i="1" s="1"/>
  <c r="U370" i="1"/>
  <c r="R370" i="1"/>
  <c r="A370" i="1" s="1"/>
  <c r="U369" i="1"/>
  <c r="R369" i="1"/>
  <c r="A369" i="1" s="1"/>
  <c r="U368" i="1"/>
  <c r="R368" i="1"/>
  <c r="A368" i="1" s="1"/>
  <c r="U367" i="1"/>
  <c r="R367" i="1"/>
  <c r="A367" i="1" s="1"/>
  <c r="U366" i="1"/>
  <c r="R366" i="1"/>
  <c r="A366" i="1" s="1"/>
  <c r="U365" i="1"/>
  <c r="R365" i="1"/>
  <c r="A365" i="1" s="1"/>
  <c r="U364" i="1"/>
  <c r="R364" i="1"/>
  <c r="A364" i="1" s="1"/>
  <c r="U363" i="1"/>
  <c r="R363" i="1"/>
  <c r="A363" i="1" s="1"/>
  <c r="U362" i="1"/>
  <c r="R362" i="1"/>
  <c r="A362" i="1" s="1"/>
  <c r="U361" i="1"/>
  <c r="R361" i="1"/>
  <c r="A361" i="1" s="1"/>
  <c r="U360" i="1"/>
  <c r="R360" i="1"/>
  <c r="A360" i="1" s="1"/>
  <c r="U359" i="1"/>
  <c r="R359" i="1"/>
  <c r="A359" i="1" s="1"/>
  <c r="U358" i="1"/>
  <c r="R358" i="1"/>
  <c r="A358" i="1" s="1"/>
  <c r="U357" i="1"/>
  <c r="R357" i="1"/>
  <c r="A357" i="1" s="1"/>
  <c r="U356" i="1"/>
  <c r="R356" i="1"/>
  <c r="A356" i="1" s="1"/>
  <c r="U355" i="1"/>
  <c r="R355" i="1"/>
  <c r="A355" i="1" s="1"/>
  <c r="U354" i="1"/>
  <c r="R354" i="1"/>
  <c r="A354" i="1" s="1"/>
  <c r="U353" i="1"/>
  <c r="R353" i="1"/>
  <c r="A353" i="1" s="1"/>
  <c r="U352" i="1"/>
  <c r="R352" i="1"/>
  <c r="A352" i="1" s="1"/>
  <c r="U351" i="1"/>
  <c r="R351" i="1"/>
  <c r="A351" i="1" s="1"/>
  <c r="U350" i="1"/>
  <c r="R350" i="1"/>
  <c r="A350" i="1" s="1"/>
  <c r="U349" i="1"/>
  <c r="R349" i="1"/>
  <c r="A349" i="1" s="1"/>
  <c r="U348" i="1"/>
  <c r="R348" i="1"/>
  <c r="A348" i="1"/>
  <c r="U347" i="1"/>
  <c r="R347" i="1"/>
  <c r="A347" i="1" s="1"/>
  <c r="U346" i="1"/>
  <c r="R346" i="1"/>
  <c r="A346" i="1" s="1"/>
  <c r="U345" i="1"/>
  <c r="R345" i="1"/>
  <c r="A345" i="1" s="1"/>
  <c r="U344" i="1"/>
  <c r="R344" i="1"/>
  <c r="A344" i="1" s="1"/>
  <c r="U343" i="1"/>
  <c r="R343" i="1"/>
  <c r="A343" i="1" s="1"/>
  <c r="U342" i="1"/>
  <c r="R342" i="1"/>
  <c r="A342" i="1" s="1"/>
  <c r="U341" i="1"/>
  <c r="R341" i="1"/>
  <c r="A341" i="1"/>
  <c r="U340" i="1"/>
  <c r="R340" i="1"/>
  <c r="A340" i="1" s="1"/>
  <c r="U339" i="1"/>
  <c r="R339" i="1"/>
  <c r="A339" i="1" s="1"/>
  <c r="U338" i="1"/>
  <c r="R338" i="1"/>
  <c r="A338" i="1" s="1"/>
  <c r="U337" i="1"/>
  <c r="R337" i="1"/>
  <c r="A337" i="1" s="1"/>
  <c r="U336" i="1"/>
  <c r="R336" i="1"/>
  <c r="A336" i="1" s="1"/>
  <c r="U335" i="1"/>
  <c r="R335" i="1"/>
  <c r="A335" i="1" s="1"/>
  <c r="U334" i="1"/>
  <c r="R334" i="1"/>
  <c r="A334" i="1" s="1"/>
  <c r="U333" i="1"/>
  <c r="R333" i="1"/>
  <c r="A333" i="1" s="1"/>
  <c r="U332" i="1"/>
  <c r="R332" i="1"/>
  <c r="A332" i="1" s="1"/>
  <c r="U331" i="1"/>
  <c r="R331" i="1"/>
  <c r="A331" i="1" s="1"/>
  <c r="U330" i="1"/>
  <c r="R330" i="1"/>
  <c r="A330" i="1" s="1"/>
  <c r="U329" i="1"/>
  <c r="R329" i="1"/>
  <c r="A329" i="1" s="1"/>
  <c r="U328" i="1"/>
  <c r="R328" i="1"/>
  <c r="A328" i="1" s="1"/>
  <c r="U327" i="1"/>
  <c r="R327" i="1"/>
  <c r="A327" i="1" s="1"/>
  <c r="U326" i="1"/>
  <c r="R326" i="1"/>
  <c r="A326" i="1" s="1"/>
  <c r="U325" i="1"/>
  <c r="R325" i="1"/>
  <c r="A325" i="1" s="1"/>
  <c r="U324" i="1"/>
  <c r="R324" i="1"/>
  <c r="A324" i="1" s="1"/>
  <c r="U323" i="1"/>
  <c r="R323" i="1"/>
  <c r="A323" i="1" s="1"/>
  <c r="U322" i="1"/>
  <c r="R322" i="1"/>
  <c r="A322" i="1" s="1"/>
  <c r="U321" i="1"/>
  <c r="R321" i="1"/>
  <c r="A321" i="1" s="1"/>
  <c r="U316" i="1"/>
  <c r="R316" i="1"/>
  <c r="A316" i="1" s="1"/>
  <c r="U315" i="1"/>
  <c r="R315" i="1"/>
  <c r="A315" i="1" s="1"/>
  <c r="U314" i="1"/>
  <c r="R314" i="1"/>
  <c r="A314" i="1" s="1"/>
  <c r="U312" i="1"/>
  <c r="R312" i="1"/>
  <c r="A312" i="1" s="1"/>
  <c r="U311" i="1"/>
  <c r="R311" i="1"/>
  <c r="A311" i="1" s="1"/>
  <c r="U310" i="1"/>
  <c r="R310" i="1"/>
  <c r="A310" i="1" s="1"/>
  <c r="U309" i="1"/>
  <c r="R309" i="1"/>
  <c r="A309" i="1" s="1"/>
  <c r="U308" i="1"/>
  <c r="R308" i="1"/>
  <c r="A308" i="1" s="1"/>
  <c r="U307" i="1"/>
  <c r="R307" i="1"/>
  <c r="A307" i="1" s="1"/>
  <c r="U306" i="1"/>
  <c r="R306" i="1"/>
  <c r="A306" i="1" s="1"/>
  <c r="U305" i="1"/>
  <c r="R305" i="1"/>
  <c r="A305" i="1" s="1"/>
  <c r="U304" i="1"/>
  <c r="R304" i="1"/>
  <c r="A304" i="1" s="1"/>
  <c r="U303" i="1"/>
  <c r="R303" i="1"/>
  <c r="A303" i="1" s="1"/>
  <c r="U302" i="1"/>
  <c r="R302" i="1"/>
  <c r="A302" i="1" s="1"/>
  <c r="U301" i="1"/>
  <c r="R301" i="1"/>
  <c r="A301" i="1" s="1"/>
  <c r="U300" i="1"/>
  <c r="R300" i="1"/>
  <c r="A300" i="1" s="1"/>
  <c r="U299" i="1"/>
  <c r="R299" i="1"/>
  <c r="A299" i="1" s="1"/>
  <c r="U298" i="1"/>
  <c r="R298" i="1"/>
  <c r="A298" i="1" s="1"/>
  <c r="U297" i="1"/>
  <c r="R297" i="1"/>
  <c r="A297" i="1" s="1"/>
  <c r="U296" i="1"/>
  <c r="R296" i="1"/>
  <c r="A296" i="1" s="1"/>
  <c r="U291" i="1"/>
  <c r="R291" i="1"/>
  <c r="A291" i="1" s="1"/>
  <c r="U290" i="1"/>
  <c r="R290" i="1"/>
  <c r="A290" i="1" s="1"/>
  <c r="U289" i="1"/>
  <c r="R289" i="1"/>
  <c r="A289" i="1" s="1"/>
  <c r="U288" i="1"/>
  <c r="R288" i="1"/>
  <c r="A288" i="1" s="1"/>
  <c r="U286" i="1"/>
  <c r="R286" i="1"/>
  <c r="A286" i="1" s="1"/>
  <c r="U285" i="1"/>
  <c r="R285" i="1"/>
  <c r="A285" i="1" s="1"/>
  <c r="U283" i="1"/>
  <c r="R283" i="1"/>
  <c r="A283" i="1" s="1"/>
  <c r="U282" i="1"/>
  <c r="R282" i="1"/>
  <c r="A282" i="1" s="1"/>
  <c r="U281" i="1"/>
  <c r="R281" i="1"/>
  <c r="A281" i="1" s="1"/>
  <c r="U280" i="1"/>
  <c r="R280" i="1"/>
  <c r="A280" i="1" s="1"/>
  <c r="U279" i="1"/>
  <c r="R279" i="1"/>
  <c r="A279" i="1" s="1"/>
  <c r="U278" i="1"/>
  <c r="R278" i="1"/>
  <c r="A278" i="1" s="1"/>
  <c r="U273" i="1"/>
  <c r="R273" i="1"/>
  <c r="A273" i="1" s="1"/>
  <c r="U272" i="1"/>
  <c r="R272" i="1"/>
  <c r="A272" i="1" s="1"/>
  <c r="U269" i="1"/>
  <c r="R269" i="1"/>
  <c r="A269" i="1" s="1"/>
  <c r="U268" i="1"/>
  <c r="R268" i="1"/>
  <c r="A268" i="1" s="1"/>
  <c r="U267" i="1"/>
  <c r="R267" i="1"/>
  <c r="A267" i="1" s="1"/>
  <c r="U266" i="1"/>
  <c r="R266" i="1"/>
  <c r="A266" i="1" s="1"/>
  <c r="U265" i="1"/>
  <c r="R265" i="1"/>
  <c r="A265" i="1" s="1"/>
  <c r="U262" i="1"/>
  <c r="R262" i="1"/>
  <c r="A262" i="1" s="1"/>
  <c r="U261" i="1"/>
  <c r="R261" i="1"/>
  <c r="A261" i="1" s="1"/>
  <c r="U260" i="1"/>
  <c r="R260" i="1"/>
  <c r="A260" i="1" s="1"/>
  <c r="U259" i="1"/>
  <c r="R259" i="1"/>
  <c r="A259" i="1" s="1"/>
  <c r="U258" i="1"/>
  <c r="R258" i="1"/>
  <c r="A258" i="1" s="1"/>
  <c r="U257" i="1"/>
  <c r="R257" i="1"/>
  <c r="A257" i="1" s="1"/>
  <c r="U256" i="1"/>
  <c r="R256" i="1"/>
  <c r="A256" i="1" s="1"/>
  <c r="R72" i="1"/>
  <c r="A72" i="1" s="1"/>
  <c r="R71" i="1"/>
  <c r="A71" i="1" s="1"/>
  <c r="R70" i="1"/>
  <c r="A70" i="1" s="1"/>
  <c r="R69" i="1"/>
  <c r="A69" i="1" s="1"/>
  <c r="R68" i="1"/>
  <c r="A68" i="1" s="1"/>
  <c r="R67" i="1"/>
  <c r="A67" i="1" s="1"/>
  <c r="R66" i="1"/>
  <c r="A66" i="1" s="1"/>
  <c r="R65" i="1"/>
  <c r="A65" i="1" s="1"/>
  <c r="R64" i="1"/>
  <c r="A64" i="1" s="1"/>
  <c r="R63" i="1"/>
  <c r="A63" i="1" s="1"/>
  <c r="R62" i="1"/>
  <c r="A62" i="1" s="1"/>
  <c r="R61" i="1"/>
  <c r="A61" i="1" s="1"/>
  <c r="R60" i="1"/>
  <c r="A60" i="1" s="1"/>
  <c r="R59" i="1"/>
  <c r="A59" i="1" s="1"/>
  <c r="R58" i="1"/>
  <c r="A58" i="1" s="1"/>
  <c r="U251" i="1"/>
  <c r="R251" i="1"/>
  <c r="A251" i="1" s="1"/>
  <c r="U250" i="1"/>
  <c r="R250" i="1"/>
  <c r="A250" i="1" s="1"/>
  <c r="U249" i="1"/>
  <c r="R249" i="1"/>
  <c r="A249" i="1" s="1"/>
  <c r="U248" i="1"/>
  <c r="R248" i="1"/>
  <c r="A248" i="1" s="1"/>
  <c r="U247" i="1"/>
  <c r="R247" i="1"/>
  <c r="A247" i="1" s="1"/>
  <c r="U246" i="1"/>
  <c r="R246" i="1"/>
  <c r="A246" i="1" s="1"/>
  <c r="U245" i="1"/>
  <c r="R245" i="1"/>
  <c r="A245" i="1" s="1"/>
  <c r="U244" i="1"/>
  <c r="R244" i="1"/>
  <c r="A244" i="1" s="1"/>
  <c r="U243" i="1"/>
  <c r="R243" i="1"/>
  <c r="A243" i="1" s="1"/>
  <c r="U242" i="1"/>
  <c r="R242" i="1"/>
  <c r="A242" i="1" s="1"/>
  <c r="U241" i="1"/>
  <c r="R241" i="1"/>
  <c r="A241" i="1" s="1"/>
  <c r="U240" i="1"/>
  <c r="R240" i="1"/>
  <c r="A240" i="1" s="1"/>
  <c r="U239" i="1"/>
  <c r="R239" i="1"/>
  <c r="A239" i="1" s="1"/>
  <c r="U238" i="1"/>
  <c r="R238" i="1"/>
  <c r="A238" i="1" s="1"/>
  <c r="U237" i="1"/>
  <c r="R237" i="1"/>
  <c r="A237" i="1" s="1"/>
  <c r="U235" i="1"/>
  <c r="R235" i="1"/>
  <c r="A235" i="1" s="1"/>
  <c r="U234" i="1"/>
  <c r="R234" i="1"/>
  <c r="A234" i="1" s="1"/>
  <c r="U233" i="1"/>
  <c r="R233" i="1"/>
  <c r="A233" i="1" s="1"/>
  <c r="U232" i="1"/>
  <c r="R232" i="1"/>
  <c r="A232" i="1" s="1"/>
  <c r="U231" i="1"/>
  <c r="R231" i="1"/>
  <c r="A231" i="1" s="1"/>
  <c r="U230" i="1"/>
  <c r="R230" i="1"/>
  <c r="A230" i="1" s="1"/>
  <c r="U229" i="1"/>
  <c r="R229" i="1"/>
  <c r="A229" i="1" s="1"/>
  <c r="U228" i="1"/>
  <c r="R228" i="1"/>
  <c r="A228" i="1" s="1"/>
  <c r="U227" i="1"/>
  <c r="R227" i="1"/>
  <c r="A227" i="1" s="1"/>
  <c r="U226" i="1"/>
  <c r="R226" i="1"/>
  <c r="A226" i="1" s="1"/>
  <c r="U225" i="1"/>
  <c r="R225" i="1"/>
  <c r="A225" i="1" s="1"/>
  <c r="U224" i="1"/>
  <c r="R224" i="1"/>
  <c r="A224" i="1" s="1"/>
  <c r="U223" i="1"/>
  <c r="R223" i="1"/>
  <c r="A223" i="1" s="1"/>
  <c r="U222" i="1"/>
  <c r="R222" i="1"/>
  <c r="A222" i="1" s="1"/>
  <c r="U221" i="1"/>
  <c r="R221" i="1"/>
  <c r="A221" i="1"/>
  <c r="U220" i="1"/>
  <c r="R220" i="1"/>
  <c r="A220" i="1" s="1"/>
  <c r="U219" i="1"/>
  <c r="R219" i="1"/>
  <c r="A219" i="1" s="1"/>
  <c r="U218" i="1"/>
  <c r="R218" i="1"/>
  <c r="A218" i="1" s="1"/>
  <c r="U217" i="1"/>
  <c r="R217" i="1"/>
  <c r="A217" i="1" s="1"/>
  <c r="U216" i="1"/>
  <c r="R216" i="1"/>
  <c r="A216" i="1" s="1"/>
  <c r="U215" i="1"/>
  <c r="R215" i="1"/>
  <c r="A215" i="1" s="1"/>
  <c r="U214" i="1"/>
  <c r="R214" i="1"/>
  <c r="A214" i="1" s="1"/>
  <c r="U213" i="1"/>
  <c r="R213" i="1"/>
  <c r="A213" i="1" s="1"/>
  <c r="U212" i="1"/>
  <c r="R212" i="1"/>
  <c r="A212" i="1" s="1"/>
  <c r="U211" i="1"/>
  <c r="R211" i="1"/>
  <c r="A211" i="1" s="1"/>
  <c r="U210" i="1"/>
  <c r="R210" i="1"/>
  <c r="A210" i="1" s="1"/>
  <c r="U209" i="1"/>
  <c r="R209" i="1"/>
  <c r="A209" i="1" s="1"/>
  <c r="U208" i="1"/>
  <c r="R208" i="1"/>
  <c r="A208" i="1" s="1"/>
  <c r="U207" i="1"/>
  <c r="R207" i="1"/>
  <c r="A207" i="1" s="1"/>
  <c r="U206" i="1"/>
  <c r="R206" i="1"/>
  <c r="A206" i="1" s="1"/>
  <c r="U205" i="1"/>
  <c r="R205" i="1"/>
  <c r="A205" i="1" s="1"/>
  <c r="U204" i="1"/>
  <c r="R204" i="1"/>
  <c r="A204" i="1" s="1"/>
  <c r="U203" i="1"/>
  <c r="R203" i="1"/>
  <c r="A203" i="1" s="1"/>
  <c r="U202" i="1"/>
  <c r="R202" i="1"/>
  <c r="A202" i="1" s="1"/>
  <c r="U201" i="1"/>
  <c r="R201" i="1"/>
  <c r="A201" i="1" s="1"/>
  <c r="U200" i="1"/>
  <c r="R200" i="1"/>
  <c r="A200" i="1" s="1"/>
  <c r="U199" i="1"/>
  <c r="R199" i="1"/>
  <c r="A199" i="1" s="1"/>
  <c r="U198" i="1"/>
  <c r="R198" i="1"/>
  <c r="A198" i="1" s="1"/>
  <c r="U197" i="1"/>
  <c r="R197" i="1"/>
  <c r="A197" i="1" s="1"/>
  <c r="U196" i="1"/>
  <c r="R196" i="1"/>
  <c r="A196" i="1" s="1"/>
  <c r="U195" i="1"/>
  <c r="R195" i="1"/>
  <c r="A195" i="1" s="1"/>
  <c r="U194" i="1"/>
  <c r="R194" i="1"/>
  <c r="A194" i="1" s="1"/>
  <c r="U193" i="1"/>
  <c r="R193" i="1"/>
  <c r="A193" i="1" s="1"/>
  <c r="U192" i="1"/>
  <c r="R192" i="1"/>
  <c r="A192" i="1" s="1"/>
  <c r="U191" i="1"/>
  <c r="R191" i="1"/>
  <c r="A191" i="1" s="1"/>
  <c r="U190" i="1"/>
  <c r="R190" i="1"/>
  <c r="A190" i="1" s="1"/>
  <c r="U189" i="1"/>
  <c r="R189" i="1"/>
  <c r="A189" i="1" s="1"/>
  <c r="U188" i="1"/>
  <c r="R188" i="1"/>
  <c r="A188" i="1" s="1"/>
  <c r="U187" i="1"/>
  <c r="R187" i="1"/>
  <c r="A187" i="1" s="1"/>
  <c r="U186" i="1"/>
  <c r="R186" i="1"/>
  <c r="A186" i="1" s="1"/>
  <c r="U185" i="1"/>
  <c r="R185" i="1"/>
  <c r="A185" i="1" s="1"/>
  <c r="U184" i="1"/>
  <c r="R184" i="1"/>
  <c r="A184" i="1" s="1"/>
  <c r="U183" i="1"/>
  <c r="R183" i="1"/>
  <c r="A183" i="1" s="1"/>
  <c r="U182" i="1"/>
  <c r="R182" i="1"/>
  <c r="A182" i="1" s="1"/>
  <c r="U181" i="1"/>
  <c r="R181" i="1"/>
  <c r="A181" i="1" s="1"/>
  <c r="U180" i="1"/>
  <c r="R180" i="1"/>
  <c r="A180" i="1" s="1"/>
  <c r="U179" i="1"/>
  <c r="R179" i="1"/>
  <c r="A179" i="1" s="1"/>
  <c r="U178" i="1"/>
  <c r="R178" i="1"/>
  <c r="A178" i="1" s="1"/>
  <c r="U177" i="1"/>
  <c r="R177" i="1"/>
  <c r="A177" i="1" s="1"/>
  <c r="U176" i="1"/>
  <c r="R176" i="1"/>
  <c r="A176" i="1" s="1"/>
  <c r="U175" i="1"/>
  <c r="R175" i="1"/>
  <c r="A175" i="1" s="1"/>
  <c r="U174" i="1"/>
  <c r="R174" i="1"/>
  <c r="A174" i="1" s="1"/>
  <c r="U173" i="1"/>
  <c r="R173" i="1"/>
  <c r="A173" i="1" s="1"/>
  <c r="U172" i="1"/>
  <c r="R172" i="1"/>
  <c r="A172" i="1" s="1"/>
  <c r="U171" i="1"/>
  <c r="R171" i="1"/>
  <c r="A171" i="1" s="1"/>
  <c r="U170" i="1"/>
  <c r="R170" i="1"/>
  <c r="A170" i="1" s="1"/>
  <c r="U169" i="1"/>
  <c r="R169" i="1"/>
  <c r="A169" i="1"/>
  <c r="U168" i="1"/>
  <c r="R168" i="1"/>
  <c r="A168" i="1" s="1"/>
  <c r="U167" i="1"/>
  <c r="R167" i="1"/>
  <c r="A167" i="1" s="1"/>
  <c r="U166" i="1"/>
  <c r="R166" i="1"/>
  <c r="A166" i="1" s="1"/>
  <c r="U165" i="1"/>
  <c r="R165" i="1"/>
  <c r="A165" i="1" s="1"/>
  <c r="U164" i="1"/>
  <c r="R164" i="1"/>
  <c r="A164" i="1" s="1"/>
  <c r="U163" i="1"/>
  <c r="R163" i="1"/>
  <c r="A163" i="1" s="1"/>
  <c r="U162" i="1"/>
  <c r="R162" i="1"/>
  <c r="A162" i="1" s="1"/>
  <c r="U161" i="1"/>
  <c r="R161" i="1"/>
  <c r="A161" i="1" s="1"/>
  <c r="U160" i="1"/>
  <c r="R160" i="1"/>
  <c r="A160" i="1" s="1"/>
  <c r="U159" i="1"/>
  <c r="R159" i="1"/>
  <c r="A159" i="1" s="1"/>
  <c r="U158" i="1"/>
  <c r="R158" i="1"/>
  <c r="A158" i="1" s="1"/>
  <c r="U157" i="1"/>
  <c r="R157" i="1"/>
  <c r="A157" i="1" s="1"/>
  <c r="U156" i="1"/>
  <c r="R156" i="1"/>
  <c r="A156" i="1" s="1"/>
  <c r="U155" i="1"/>
  <c r="R155" i="1"/>
  <c r="A155" i="1" s="1"/>
  <c r="U154" i="1"/>
  <c r="R154" i="1"/>
  <c r="A154" i="1" s="1"/>
  <c r="U153" i="1"/>
  <c r="R153" i="1"/>
  <c r="A153" i="1" s="1"/>
  <c r="U152" i="1"/>
  <c r="R152" i="1"/>
  <c r="A152" i="1" s="1"/>
  <c r="U151" i="1"/>
  <c r="R151" i="1"/>
  <c r="A151" i="1" s="1"/>
  <c r="U150" i="1"/>
  <c r="R150" i="1"/>
  <c r="A150" i="1" s="1"/>
  <c r="U149" i="1"/>
  <c r="R149" i="1"/>
  <c r="A149" i="1" s="1"/>
  <c r="U148" i="1"/>
  <c r="R148" i="1"/>
  <c r="A148" i="1" s="1"/>
  <c r="U147" i="1"/>
  <c r="R147" i="1"/>
  <c r="A147" i="1" s="1"/>
  <c r="U146" i="1"/>
  <c r="R146" i="1"/>
  <c r="A146" i="1" s="1"/>
  <c r="U145" i="1"/>
  <c r="R145" i="1"/>
  <c r="A145" i="1" s="1"/>
  <c r="U144" i="1"/>
  <c r="R144" i="1"/>
  <c r="A144" i="1" s="1"/>
  <c r="U143" i="1"/>
  <c r="R143" i="1"/>
  <c r="A143" i="1" s="1"/>
  <c r="U142" i="1"/>
  <c r="R142" i="1"/>
  <c r="A142" i="1" s="1"/>
  <c r="U141" i="1"/>
  <c r="R141" i="1"/>
  <c r="A141" i="1" s="1"/>
  <c r="U139" i="1"/>
  <c r="R139" i="1"/>
  <c r="A139" i="1" s="1"/>
  <c r="U138" i="1"/>
  <c r="R138" i="1"/>
  <c r="A138" i="1" s="1"/>
  <c r="U137" i="1"/>
  <c r="R137" i="1"/>
  <c r="A137" i="1" s="1"/>
  <c r="U136" i="1"/>
  <c r="R136" i="1"/>
  <c r="A136" i="1" s="1"/>
  <c r="U135" i="1"/>
  <c r="R135" i="1"/>
  <c r="A135" i="1" s="1"/>
  <c r="U134" i="1"/>
  <c r="R134" i="1"/>
  <c r="A134" i="1" s="1"/>
  <c r="U133" i="1"/>
  <c r="R133" i="1"/>
  <c r="A133" i="1" s="1"/>
  <c r="U132" i="1"/>
  <c r="R132" i="1"/>
  <c r="A132" i="1" s="1"/>
  <c r="U131" i="1"/>
  <c r="R131" i="1"/>
  <c r="A131" i="1" s="1"/>
  <c r="U130" i="1"/>
  <c r="R130" i="1"/>
  <c r="A130" i="1" s="1"/>
  <c r="U129" i="1"/>
  <c r="R129" i="1"/>
  <c r="A129" i="1" s="1"/>
  <c r="U128" i="1"/>
  <c r="R128" i="1"/>
  <c r="A128" i="1" s="1"/>
  <c r="U127" i="1"/>
  <c r="R127" i="1"/>
  <c r="A127" i="1" s="1"/>
  <c r="U126" i="1"/>
  <c r="R126" i="1"/>
  <c r="A126" i="1" s="1"/>
  <c r="U125" i="1"/>
  <c r="R125" i="1"/>
  <c r="A125" i="1" s="1"/>
  <c r="U124" i="1"/>
  <c r="R124" i="1"/>
  <c r="A124" i="1" s="1"/>
  <c r="U123" i="1"/>
  <c r="R123" i="1"/>
  <c r="A123" i="1" s="1"/>
  <c r="U122" i="1"/>
  <c r="R122" i="1"/>
  <c r="A122" i="1" s="1"/>
  <c r="R121" i="1"/>
  <c r="A121" i="1" s="1"/>
  <c r="U120" i="1"/>
  <c r="R120" i="1"/>
  <c r="A120" i="1" s="1"/>
  <c r="U119" i="1"/>
  <c r="R119" i="1"/>
  <c r="A119" i="1" s="1"/>
  <c r="U118" i="1"/>
  <c r="R118" i="1"/>
  <c r="A118" i="1" s="1"/>
  <c r="U117" i="1"/>
  <c r="R117" i="1"/>
  <c r="A117" i="1" s="1"/>
  <c r="U116" i="1"/>
  <c r="R116" i="1"/>
  <c r="A116" i="1" s="1"/>
  <c r="U114" i="1"/>
  <c r="R114" i="1"/>
  <c r="A114" i="1" s="1"/>
  <c r="U113" i="1"/>
  <c r="R113" i="1"/>
  <c r="A113" i="1" s="1"/>
  <c r="U112" i="1"/>
  <c r="R112" i="1"/>
  <c r="A112" i="1" s="1"/>
  <c r="U111" i="1"/>
  <c r="R111" i="1"/>
  <c r="A111" i="1" s="1"/>
  <c r="U110" i="1"/>
  <c r="R110" i="1"/>
  <c r="A110" i="1" s="1"/>
  <c r="U109" i="1"/>
  <c r="R109" i="1"/>
  <c r="A109" i="1" s="1"/>
  <c r="U107" i="1"/>
  <c r="R107" i="1"/>
  <c r="A107" i="1" s="1"/>
  <c r="U105" i="1"/>
  <c r="R105" i="1"/>
  <c r="A105" i="1" s="1"/>
  <c r="U104" i="1"/>
  <c r="R104" i="1"/>
  <c r="A104" i="1" s="1"/>
  <c r="U103" i="1"/>
  <c r="R103" i="1"/>
  <c r="A103" i="1" s="1"/>
  <c r="U97" i="1"/>
  <c r="R97" i="1"/>
  <c r="A97" i="1" s="1"/>
  <c r="U96" i="1"/>
  <c r="R96" i="1"/>
  <c r="A96" i="1" s="1"/>
  <c r="U95" i="1"/>
  <c r="R95" i="1"/>
  <c r="A95" i="1" s="1"/>
  <c r="U94" i="1"/>
  <c r="R94" i="1"/>
  <c r="A94" i="1" s="1"/>
  <c r="U92" i="1"/>
  <c r="R92" i="1"/>
  <c r="A92" i="1" s="1"/>
  <c r="U91" i="1"/>
  <c r="R91" i="1"/>
  <c r="A91" i="1" s="1"/>
  <c r="U90" i="1"/>
  <c r="R90" i="1"/>
  <c r="A90" i="1" s="1"/>
  <c r="U89" i="1"/>
  <c r="R89" i="1"/>
  <c r="A89" i="1" s="1"/>
  <c r="U88" i="1"/>
  <c r="R88" i="1"/>
  <c r="A88" i="1" s="1"/>
  <c r="U87" i="1"/>
  <c r="R87" i="1"/>
  <c r="A87" i="1"/>
  <c r="U86" i="1"/>
  <c r="R86" i="1"/>
  <c r="A86" i="1" s="1"/>
  <c r="U85" i="1"/>
  <c r="R85" i="1"/>
  <c r="A85" i="1" s="1"/>
  <c r="U84" i="1"/>
  <c r="R84" i="1"/>
  <c r="A84" i="1" s="1"/>
  <c r="U82" i="1"/>
  <c r="R82" i="1"/>
  <c r="A82" i="1" s="1"/>
  <c r="U81" i="1"/>
  <c r="R81" i="1"/>
  <c r="A81" i="1" s="1"/>
  <c r="U80" i="1"/>
  <c r="R80" i="1"/>
  <c r="A80" i="1" s="1"/>
  <c r="U79" i="1"/>
  <c r="R79" i="1"/>
  <c r="A79" i="1" s="1"/>
  <c r="U78" i="1"/>
  <c r="R78" i="1"/>
  <c r="A78" i="1" s="1"/>
  <c r="U77" i="1"/>
  <c r="R77" i="1"/>
  <c r="A77" i="1" s="1"/>
  <c r="U76" i="1"/>
  <c r="R76" i="1"/>
  <c r="A76" i="1" s="1"/>
  <c r="U75" i="1"/>
  <c r="R75" i="1"/>
  <c r="A75" i="1" s="1"/>
  <c r="AW3" i="1"/>
  <c r="AK3" i="1"/>
  <c r="A319" i="1"/>
  <c r="P656" i="1"/>
  <c r="I656" i="1"/>
  <c r="U499" i="1"/>
  <c r="R313" i="1"/>
  <c r="A313" i="1" s="1"/>
  <c r="B657" i="1"/>
  <c r="R657" i="1"/>
  <c r="A657" i="1" s="1"/>
  <c r="B252" i="1"/>
  <c r="R252" i="1" s="1"/>
  <c r="R98" i="1"/>
  <c r="A98" i="1" s="1"/>
  <c r="S625" i="1"/>
  <c r="R499" i="1"/>
  <c r="A499" i="1" s="1"/>
  <c r="U28" i="1"/>
  <c r="A496" i="1"/>
  <c r="U859" i="1"/>
  <c r="U642" i="1"/>
  <c r="S201" i="1"/>
  <c r="R24" i="1"/>
  <c r="A24" i="1" s="1"/>
  <c r="A27" i="1"/>
  <c r="A29" i="1"/>
  <c r="R664" i="1"/>
  <c r="A664" i="1" s="1"/>
  <c r="S623" i="1"/>
  <c r="B374" i="1"/>
  <c r="R374" i="1" s="1"/>
  <c r="A374" i="1" s="1"/>
  <c r="D723" i="1"/>
  <c r="R30" i="1"/>
  <c r="A30" i="1" s="1"/>
  <c r="A910" i="1" l="1"/>
  <c r="Q899" i="1"/>
  <c r="Q907" i="1"/>
  <c r="A582" i="1"/>
  <c r="D910" i="1"/>
  <c r="Q721" i="1"/>
  <c r="A492" i="1"/>
  <c r="Q716" i="1"/>
  <c r="Q720" i="1"/>
  <c r="Q719" i="1"/>
  <c r="A252" i="1"/>
  <c r="Q910" i="1"/>
  <c r="U26" i="1"/>
  <c r="Q722" i="1"/>
  <c r="Q718" i="1"/>
  <c r="Q905" i="1"/>
  <c r="Q903" i="1"/>
  <c r="Q898" i="1"/>
  <c r="Q906" i="1"/>
  <c r="Q902" i="1"/>
  <c r="Q900" i="1"/>
  <c r="Q717" i="1"/>
  <c r="Q715" i="1"/>
  <c r="Q909" i="1"/>
  <c r="Q901" i="1"/>
  <c r="Q908" i="1"/>
  <c r="S471" i="1"/>
  <c r="S367" i="1"/>
  <c r="H8" i="2" l="1"/>
  <c r="J62" i="2"/>
  <c r="J109" i="2"/>
  <c r="H97" i="2"/>
  <c r="H14" i="2"/>
  <c r="K38" i="2"/>
  <c r="H75" i="2"/>
  <c r="K125" i="2"/>
  <c r="J37" i="2"/>
  <c r="K160" i="2"/>
  <c r="I12" i="2"/>
  <c r="J6" i="2"/>
  <c r="K48" i="2"/>
  <c r="H159" i="2"/>
  <c r="J20" i="2"/>
  <c r="I23" i="2"/>
  <c r="K65" i="2"/>
  <c r="I90" i="2"/>
  <c r="J151" i="2"/>
  <c r="J17" i="2"/>
  <c r="H146" i="2"/>
  <c r="I124" i="2"/>
  <c r="H147" i="2"/>
  <c r="I73" i="2"/>
  <c r="H107" i="2"/>
  <c r="K75" i="2"/>
  <c r="I102" i="2"/>
  <c r="H19" i="2"/>
  <c r="I48" i="2"/>
  <c r="J54" i="2"/>
  <c r="K46" i="2"/>
  <c r="K159" i="2"/>
  <c r="H122" i="2"/>
  <c r="J87" i="2"/>
  <c r="J79" i="2"/>
  <c r="K134" i="2"/>
  <c r="H21" i="2"/>
  <c r="J83" i="2"/>
  <c r="I51" i="2"/>
  <c r="J98" i="2"/>
  <c r="K140" i="2"/>
  <c r="J110" i="2"/>
  <c r="I120" i="2"/>
  <c r="I151" i="2"/>
  <c r="I135" i="2"/>
  <c r="H120" i="2"/>
  <c r="J51" i="2"/>
  <c r="I129" i="2"/>
  <c r="J96" i="2"/>
  <c r="I46" i="2"/>
  <c r="I84" i="2"/>
  <c r="K133" i="2"/>
  <c r="K84" i="2"/>
  <c r="I56" i="2"/>
  <c r="H89" i="2"/>
  <c r="H58" i="2"/>
  <c r="J97" i="2"/>
  <c r="H37" i="2"/>
  <c r="K132" i="2"/>
  <c r="H84" i="2"/>
  <c r="J82" i="2"/>
  <c r="J11" i="2"/>
  <c r="K81" i="2"/>
  <c r="H88" i="2"/>
  <c r="J134" i="2"/>
  <c r="J36" i="2"/>
  <c r="J153" i="2"/>
  <c r="I91" i="2"/>
  <c r="I17" i="2"/>
  <c r="J56" i="2"/>
  <c r="K22" i="2"/>
  <c r="H109" i="2"/>
  <c r="H60" i="2"/>
  <c r="H63" i="2"/>
  <c r="H30" i="2"/>
  <c r="K28" i="2"/>
  <c r="I52" i="2"/>
  <c r="I94" i="2"/>
  <c r="H148" i="2"/>
  <c r="J103" i="2"/>
  <c r="H106" i="2"/>
  <c r="K85" i="2"/>
  <c r="K73" i="2"/>
  <c r="K129" i="2"/>
  <c r="K19" i="2"/>
  <c r="J10" i="2"/>
  <c r="I79" i="2"/>
  <c r="K70" i="2"/>
  <c r="I87" i="2"/>
  <c r="K151" i="2"/>
  <c r="K62" i="2"/>
  <c r="J140" i="2"/>
  <c r="I36" i="2"/>
  <c r="H51" i="2"/>
  <c r="J32" i="2"/>
  <c r="H26" i="2"/>
  <c r="J132" i="2"/>
  <c r="H64" i="2"/>
  <c r="D64" i="2" s="1"/>
  <c r="K27" i="2"/>
  <c r="I109" i="2"/>
  <c r="H44" i="2"/>
  <c r="J25" i="2"/>
  <c r="J123" i="2"/>
  <c r="K66" i="2"/>
  <c r="J129" i="2"/>
  <c r="H137" i="2"/>
  <c r="H135" i="2"/>
  <c r="I10" i="2"/>
  <c r="H104" i="2"/>
  <c r="I64" i="2"/>
  <c r="I86" i="2"/>
  <c r="H103" i="2"/>
  <c r="J31" i="2"/>
  <c r="K107" i="2"/>
  <c r="I71" i="2"/>
  <c r="K92" i="2"/>
  <c r="K106" i="2"/>
  <c r="K109" i="2"/>
  <c r="I37" i="2"/>
  <c r="K10" i="2"/>
  <c r="J157" i="2"/>
  <c r="K60" i="2"/>
  <c r="K67" i="2"/>
  <c r="I58" i="2"/>
  <c r="K78" i="2"/>
  <c r="J24" i="2"/>
  <c r="K130" i="2"/>
  <c r="I150" i="2"/>
  <c r="K116" i="2"/>
  <c r="J141" i="2"/>
  <c r="K40" i="2"/>
  <c r="H149" i="2"/>
  <c r="K6" i="2"/>
  <c r="J149" i="2"/>
  <c r="I21" i="2"/>
  <c r="J158" i="2"/>
  <c r="H110" i="2"/>
  <c r="K26" i="2"/>
  <c r="J53" i="2"/>
  <c r="H17" i="2"/>
  <c r="J73" i="2"/>
  <c r="K36" i="2"/>
  <c r="H38" i="2"/>
  <c r="K86" i="2"/>
  <c r="I148" i="2"/>
  <c r="J66" i="2"/>
  <c r="I54" i="2"/>
  <c r="H154" i="2"/>
  <c r="I141" i="2"/>
  <c r="K68" i="2"/>
  <c r="K100" i="2"/>
  <c r="J122" i="2"/>
  <c r="K63" i="2"/>
  <c r="H59" i="2"/>
  <c r="I131" i="2"/>
  <c r="H94" i="2"/>
  <c r="I55" i="2"/>
  <c r="J77" i="2"/>
  <c r="K99" i="2"/>
  <c r="J80" i="2"/>
  <c r="A80" i="2" s="1"/>
  <c r="K41" i="2"/>
  <c r="K13" i="2"/>
  <c r="J107" i="2"/>
  <c r="K119" i="2"/>
  <c r="H74" i="2"/>
  <c r="K49" i="2"/>
  <c r="J55" i="2"/>
  <c r="H82" i="2"/>
  <c r="I122" i="2"/>
  <c r="K104" i="2"/>
  <c r="J90" i="2"/>
  <c r="I32" i="2"/>
  <c r="H142" i="2"/>
  <c r="J72" i="2"/>
  <c r="J130" i="2"/>
  <c r="I33" i="2"/>
  <c r="J115" i="2"/>
  <c r="J39" i="2"/>
  <c r="I29" i="2"/>
  <c r="I93" i="2"/>
  <c r="K82" i="2"/>
  <c r="J85" i="2"/>
  <c r="K33" i="2"/>
  <c r="I25" i="2"/>
  <c r="I108" i="2"/>
  <c r="H46" i="2"/>
  <c r="K88" i="2"/>
  <c r="K118" i="2"/>
  <c r="K143" i="2"/>
  <c r="I155" i="2"/>
  <c r="H83" i="2"/>
  <c r="H127" i="2"/>
  <c r="H125" i="2"/>
  <c r="K142" i="2"/>
  <c r="I30" i="2"/>
  <c r="H141" i="2"/>
  <c r="K55" i="2"/>
  <c r="K101" i="2"/>
  <c r="J95" i="2"/>
  <c r="J159" i="2"/>
  <c r="A159" i="2" s="1"/>
  <c r="H155" i="2"/>
  <c r="I53" i="2"/>
  <c r="I128" i="2"/>
  <c r="H49" i="2"/>
  <c r="H54" i="2"/>
  <c r="I8" i="2"/>
  <c r="J127" i="2"/>
  <c r="H126" i="2"/>
  <c r="K96" i="2"/>
  <c r="H42" i="2"/>
  <c r="J38" i="2"/>
  <c r="H128" i="2"/>
  <c r="B128" i="2" s="1"/>
  <c r="H53" i="2"/>
  <c r="C54" i="2" s="1"/>
  <c r="J136" i="2"/>
  <c r="H31" i="2"/>
  <c r="H76" i="2"/>
  <c r="H113" i="2"/>
  <c r="J61" i="2"/>
  <c r="K93" i="2"/>
  <c r="I63" i="2"/>
  <c r="K112" i="2"/>
  <c r="H156" i="2"/>
  <c r="J35" i="2"/>
  <c r="I147" i="2"/>
  <c r="I133" i="2"/>
  <c r="J45" i="2"/>
  <c r="J43" i="2"/>
  <c r="J46" i="2"/>
  <c r="K51" i="2"/>
  <c r="H144" i="2"/>
  <c r="J121" i="2"/>
  <c r="J22" i="2"/>
  <c r="I89" i="2"/>
  <c r="K69" i="2"/>
  <c r="J7" i="2"/>
  <c r="I67" i="2"/>
  <c r="I145" i="2"/>
  <c r="I116" i="2"/>
  <c r="J99" i="2"/>
  <c r="K128" i="2"/>
  <c r="H86" i="2"/>
  <c r="J133" i="2"/>
  <c r="J78" i="2"/>
  <c r="J68" i="2"/>
  <c r="J18" i="2"/>
  <c r="J41" i="2"/>
  <c r="H70" i="2"/>
  <c r="K108" i="2"/>
  <c r="K42" i="2"/>
  <c r="H35" i="2"/>
  <c r="K43" i="2"/>
  <c r="H123" i="2"/>
  <c r="H65" i="2"/>
  <c r="I44" i="2"/>
  <c r="I69" i="2"/>
  <c r="I138" i="2"/>
  <c r="H158" i="2"/>
  <c r="K74" i="2"/>
  <c r="H39" i="2"/>
  <c r="I137" i="2"/>
  <c r="I59" i="2"/>
  <c r="J81" i="2"/>
  <c r="J120" i="2"/>
  <c r="H143" i="2"/>
  <c r="I146" i="2"/>
  <c r="I47" i="2"/>
  <c r="J8" i="2"/>
  <c r="A8" i="2" s="1"/>
  <c r="J48" i="2"/>
  <c r="J30" i="2"/>
  <c r="A31" i="2" s="1"/>
  <c r="J9" i="2"/>
  <c r="H62" i="2"/>
  <c r="J108" i="2"/>
  <c r="J74" i="2"/>
  <c r="A74" i="2" s="1"/>
  <c r="K17" i="2"/>
  <c r="K154" i="2"/>
  <c r="H121" i="2"/>
  <c r="K21" i="2"/>
  <c r="I156" i="2"/>
  <c r="I34" i="2"/>
  <c r="I35" i="2"/>
  <c r="J137" i="2"/>
  <c r="K123" i="2"/>
  <c r="K23" i="2"/>
  <c r="K61" i="2"/>
  <c r="H93" i="2"/>
  <c r="I97" i="2"/>
  <c r="K76" i="2"/>
  <c r="I74" i="2"/>
  <c r="K144" i="2"/>
  <c r="J131" i="2"/>
  <c r="K47" i="2"/>
  <c r="I110" i="2"/>
  <c r="K56" i="2"/>
  <c r="I38" i="2"/>
  <c r="J13" i="2"/>
  <c r="K83" i="2"/>
  <c r="K153" i="2"/>
  <c r="K152" i="2"/>
  <c r="K58" i="2"/>
  <c r="H6" i="2"/>
  <c r="K29" i="2"/>
  <c r="J88" i="2"/>
  <c r="A88" i="2" s="1"/>
  <c r="J16" i="2"/>
  <c r="H66" i="2"/>
  <c r="H23" i="2"/>
  <c r="H68" i="2"/>
  <c r="J33" i="2"/>
  <c r="A33" i="2" s="1"/>
  <c r="K95" i="2"/>
  <c r="I81" i="2"/>
  <c r="I50" i="2"/>
  <c r="I75" i="2"/>
  <c r="I140" i="2"/>
  <c r="H153" i="2"/>
  <c r="H124" i="2"/>
  <c r="H79" i="2"/>
  <c r="K25" i="2"/>
  <c r="I16" i="2"/>
  <c r="H77" i="2"/>
  <c r="K52" i="2"/>
  <c r="J86" i="2"/>
  <c r="J106" i="2"/>
  <c r="K113" i="2"/>
  <c r="K91" i="2"/>
  <c r="K105" i="2"/>
  <c r="K138" i="2"/>
  <c r="K35" i="2"/>
  <c r="K54" i="2"/>
  <c r="H133" i="2"/>
  <c r="K79" i="2"/>
  <c r="I92" i="2"/>
  <c r="K150" i="2"/>
  <c r="J156" i="2"/>
  <c r="H47" i="2"/>
  <c r="H80" i="2"/>
  <c r="K5" i="2"/>
  <c r="D5" i="2" s="1"/>
  <c r="J105" i="2"/>
  <c r="I40" i="2"/>
  <c r="K98" i="2"/>
  <c r="H18" i="2"/>
  <c r="I101" i="2"/>
  <c r="H28" i="2"/>
  <c r="K149" i="2"/>
  <c r="K39" i="2"/>
  <c r="H12" i="2"/>
  <c r="K45" i="2"/>
  <c r="I85" i="2"/>
  <c r="H157" i="2"/>
  <c r="I130" i="2"/>
  <c r="H130" i="2"/>
  <c r="H33" i="2"/>
  <c r="K121" i="2"/>
  <c r="J49" i="2"/>
  <c r="A49" i="2" s="1"/>
  <c r="I99" i="2"/>
  <c r="J104" i="2"/>
  <c r="H108" i="2"/>
  <c r="H61" i="2"/>
  <c r="H164" i="2"/>
  <c r="K164" i="2"/>
  <c r="K161" i="2"/>
  <c r="H162" i="2"/>
  <c r="I162" i="2"/>
  <c r="J144" i="2"/>
  <c r="H105" i="2"/>
  <c r="J69" i="2"/>
  <c r="A69" i="2" s="1"/>
  <c r="I157" i="2"/>
  <c r="K157" i="2"/>
  <c r="I76" i="2"/>
  <c r="I9" i="2"/>
  <c r="K24" i="2"/>
  <c r="K12" i="2"/>
  <c r="J70" i="2"/>
  <c r="I26" i="2"/>
  <c r="I134" i="2"/>
  <c r="K139" i="2"/>
  <c r="K146" i="2"/>
  <c r="K131" i="2"/>
  <c r="K34" i="2"/>
  <c r="K57" i="2"/>
  <c r="J65" i="2"/>
  <c r="H119" i="2"/>
  <c r="D120" i="2" s="1"/>
  <c r="K155" i="2"/>
  <c r="K110" i="2"/>
  <c r="K103" i="2"/>
  <c r="H22" i="2"/>
  <c r="H57" i="2"/>
  <c r="J15" i="2"/>
  <c r="J44" i="2"/>
  <c r="A44" i="2" s="1"/>
  <c r="H111" i="2"/>
  <c r="J67" i="2"/>
  <c r="H92" i="2"/>
  <c r="I68" i="2"/>
  <c r="I57" i="2"/>
  <c r="J93" i="2"/>
  <c r="J119" i="2"/>
  <c r="I6" i="2"/>
  <c r="K89" i="2"/>
  <c r="J154" i="2"/>
  <c r="H73" i="2"/>
  <c r="K136" i="2"/>
  <c r="H98" i="2"/>
  <c r="B98" i="2" s="1"/>
  <c r="J138" i="2"/>
  <c r="A138" i="2" s="1"/>
  <c r="H140" i="2"/>
  <c r="I72" i="2"/>
  <c r="H85" i="2"/>
  <c r="C85" i="2" s="1"/>
  <c r="I24" i="2"/>
  <c r="I66" i="2"/>
  <c r="J26" i="2"/>
  <c r="J42" i="2"/>
  <c r="I18" i="2"/>
  <c r="K94" i="2"/>
  <c r="I11" i="2"/>
  <c r="J145" i="2"/>
  <c r="I123" i="2"/>
  <c r="H71" i="2"/>
  <c r="H102" i="2"/>
  <c r="I153" i="2"/>
  <c r="I100" i="2"/>
  <c r="H27" i="2"/>
  <c r="K124" i="2"/>
  <c r="I107" i="2"/>
  <c r="H34" i="2"/>
  <c r="I83" i="2"/>
  <c r="I27" i="2"/>
  <c r="J135" i="2"/>
  <c r="J118" i="2"/>
  <c r="I70" i="2"/>
  <c r="J71" i="2"/>
  <c r="A71" i="2" s="1"/>
  <c r="H78" i="2"/>
  <c r="K102" i="2"/>
  <c r="I127" i="2"/>
  <c r="H50" i="2"/>
  <c r="I5" i="2"/>
  <c r="C5" i="2" s="1"/>
  <c r="J34" i="2"/>
  <c r="J47" i="2"/>
  <c r="H99" i="2"/>
  <c r="H131" i="2"/>
  <c r="K9" i="2"/>
  <c r="K18" i="2"/>
  <c r="I112" i="2"/>
  <c r="J5" i="2"/>
  <c r="A5" i="2" s="1"/>
  <c r="J89" i="2"/>
  <c r="K71" i="2"/>
  <c r="I163" i="2"/>
  <c r="J164" i="2"/>
  <c r="H160" i="2"/>
  <c r="J160" i="2"/>
  <c r="I164" i="2"/>
  <c r="I65" i="2"/>
  <c r="K141" i="2"/>
  <c r="H20" i="2"/>
  <c r="K44" i="2"/>
  <c r="H40" i="2"/>
  <c r="K77" i="2"/>
  <c r="I125" i="2"/>
  <c r="H16" i="2"/>
  <c r="H81" i="2"/>
  <c r="B82" i="2" s="1"/>
  <c r="J63" i="2"/>
  <c r="A63" i="2" s="1"/>
  <c r="K115" i="2"/>
  <c r="H132" i="2"/>
  <c r="H13" i="2"/>
  <c r="B13" i="2" s="1"/>
  <c r="H150" i="2"/>
  <c r="J112" i="2"/>
  <c r="I113" i="2"/>
  <c r="J29" i="2"/>
  <c r="K147" i="2"/>
  <c r="H96" i="2"/>
  <c r="H32" i="2"/>
  <c r="J64" i="2"/>
  <c r="J50" i="2"/>
  <c r="H56" i="2"/>
  <c r="J75" i="2"/>
  <c r="H116" i="2"/>
  <c r="J111" i="2"/>
  <c r="I14" i="2"/>
  <c r="J27" i="2"/>
  <c r="A27" i="2" s="1"/>
  <c r="K53" i="2"/>
  <c r="I142" i="2"/>
  <c r="H48" i="2"/>
  <c r="I13" i="2"/>
  <c r="J40" i="2"/>
  <c r="H55" i="2"/>
  <c r="B55" i="2" s="1"/>
  <c r="J101" i="2"/>
  <c r="H145" i="2"/>
  <c r="J84" i="2"/>
  <c r="I98" i="2"/>
  <c r="I49" i="2"/>
  <c r="H43" i="2"/>
  <c r="H151" i="2"/>
  <c r="H91" i="2"/>
  <c r="I117" i="2"/>
  <c r="K80" i="2"/>
  <c r="J116" i="2"/>
  <c r="J114" i="2"/>
  <c r="A115" i="2" s="1"/>
  <c r="J14" i="2"/>
  <c r="K122" i="2"/>
  <c r="I105" i="2"/>
  <c r="I119" i="2"/>
  <c r="K137" i="2"/>
  <c r="K11" i="2"/>
  <c r="K59" i="2"/>
  <c r="I77" i="2"/>
  <c r="H114" i="2"/>
  <c r="K127" i="2"/>
  <c r="I154" i="2"/>
  <c r="I118" i="2"/>
  <c r="J143" i="2"/>
  <c r="H36" i="2"/>
  <c r="J128" i="2"/>
  <c r="I39" i="2"/>
  <c r="J19" i="2"/>
  <c r="K90" i="2"/>
  <c r="J113" i="2"/>
  <c r="H11" i="2"/>
  <c r="I45" i="2"/>
  <c r="H24" i="2"/>
  <c r="H118" i="2"/>
  <c r="H10" i="2"/>
  <c r="I143" i="2"/>
  <c r="K120" i="2"/>
  <c r="K31" i="2"/>
  <c r="J76" i="2"/>
  <c r="I62" i="2"/>
  <c r="K50" i="2"/>
  <c r="H67" i="2"/>
  <c r="D67" i="2" s="1"/>
  <c r="I115" i="2"/>
  <c r="I103" i="2"/>
  <c r="I132" i="2"/>
  <c r="J162" i="2"/>
  <c r="J163" i="2"/>
  <c r="K162" i="2"/>
  <c r="K163" i="2"/>
  <c r="H112" i="2"/>
  <c r="C112" i="2" s="1"/>
  <c r="I104" i="2"/>
  <c r="K32" i="2"/>
  <c r="K111" i="2"/>
  <c r="J23" i="2"/>
  <c r="A23" i="2" s="1"/>
  <c r="I22" i="2"/>
  <c r="I144" i="2"/>
  <c r="I161" i="2"/>
  <c r="K16" i="2"/>
  <c r="K156" i="2"/>
  <c r="K87" i="2"/>
  <c r="J117" i="2"/>
  <c r="K114" i="2"/>
  <c r="H129" i="2"/>
  <c r="K145" i="2"/>
  <c r="J146" i="2"/>
  <c r="H90" i="2"/>
  <c r="K135" i="2"/>
  <c r="J60" i="2"/>
  <c r="J94" i="2"/>
  <c r="J58" i="2"/>
  <c r="J102" i="2"/>
  <c r="J142" i="2"/>
  <c r="A142" i="2" s="1"/>
  <c r="I88" i="2"/>
  <c r="I42" i="2"/>
  <c r="I160" i="2"/>
  <c r="J147" i="2"/>
  <c r="H25" i="2"/>
  <c r="J91" i="2"/>
  <c r="J125" i="2"/>
  <c r="I43" i="2"/>
  <c r="I7" i="2"/>
  <c r="K64" i="2"/>
  <c r="I106" i="2"/>
  <c r="J59" i="2"/>
  <c r="H7" i="2"/>
  <c r="I28" i="2"/>
  <c r="K20" i="2"/>
  <c r="I159" i="2"/>
  <c r="H45" i="2"/>
  <c r="I95" i="2"/>
  <c r="J155" i="2"/>
  <c r="A155" i="2" s="1"/>
  <c r="I60" i="2"/>
  <c r="J148" i="2"/>
  <c r="H87" i="2"/>
  <c r="C88" i="2" s="1"/>
  <c r="K72" i="2"/>
  <c r="H134" i="2"/>
  <c r="J92" i="2"/>
  <c r="H117" i="2"/>
  <c r="C117" i="2" s="1"/>
  <c r="K126" i="2"/>
  <c r="J126" i="2"/>
  <c r="J150" i="2"/>
  <c r="I114" i="2"/>
  <c r="K14" i="2"/>
  <c r="K30" i="2"/>
  <c r="I19" i="2"/>
  <c r="I82" i="2"/>
  <c r="H95" i="2"/>
  <c r="H163" i="2"/>
  <c r="H161" i="2"/>
  <c r="I152" i="2"/>
  <c r="I121" i="2"/>
  <c r="I139" i="2"/>
  <c r="H72" i="2"/>
  <c r="K8" i="2"/>
  <c r="I96" i="2"/>
  <c r="K158" i="2"/>
  <c r="I31" i="2"/>
  <c r="H29" i="2"/>
  <c r="J12" i="2"/>
  <c r="K117" i="2"/>
  <c r="J57" i="2"/>
  <c r="J152" i="2"/>
  <c r="A152" i="2" s="1"/>
  <c r="H5" i="2"/>
  <c r="B5" i="2" s="1"/>
  <c r="J21" i="2"/>
  <c r="H152" i="2"/>
  <c r="J124" i="2"/>
  <c r="I61" i="2"/>
  <c r="I15" i="2"/>
  <c r="I20" i="2"/>
  <c r="J52" i="2"/>
  <c r="A52" i="2" s="1"/>
  <c r="H41" i="2"/>
  <c r="J28" i="2"/>
  <c r="H101" i="2"/>
  <c r="I111" i="2"/>
  <c r="K97" i="2"/>
  <c r="I126" i="2"/>
  <c r="H136" i="2"/>
  <c r="C136" i="2" s="1"/>
  <c r="H100" i="2"/>
  <c r="J139" i="2"/>
  <c r="A139" i="2" s="1"/>
  <c r="H139" i="2"/>
  <c r="B140" i="2" s="1"/>
  <c r="J161" i="2"/>
  <c r="I136" i="2"/>
  <c r="H15" i="2"/>
  <c r="B15" i="2" s="1"/>
  <c r="I78" i="2"/>
  <c r="K37" i="2"/>
  <c r="H138" i="2"/>
  <c r="K15" i="2"/>
  <c r="I149" i="2"/>
  <c r="H9" i="2"/>
  <c r="K148" i="2"/>
  <c r="K7" i="2"/>
  <c r="H69" i="2"/>
  <c r="C69" i="2" s="1"/>
  <c r="I41" i="2"/>
  <c r="J100" i="2"/>
  <c r="I80" i="2"/>
  <c r="I158" i="2"/>
  <c r="H115" i="2"/>
  <c r="H52" i="2"/>
  <c r="Z6" i="1"/>
  <c r="Z3" i="1"/>
  <c r="Z11" i="1"/>
  <c r="Z9" i="1"/>
  <c r="Z10" i="1"/>
  <c r="Z7" i="1"/>
  <c r="Z4" i="1"/>
  <c r="Z5" i="1"/>
  <c r="A110" i="2" l="1"/>
  <c r="A154" i="2"/>
  <c r="A109" i="2"/>
  <c r="C76" i="2"/>
  <c r="D75" i="2"/>
  <c r="D127" i="2"/>
  <c r="B76" i="2"/>
  <c r="A105" i="2"/>
  <c r="C127" i="2"/>
  <c r="A6" i="2"/>
  <c r="D26" i="2"/>
  <c r="C109" i="2"/>
  <c r="C19" i="2"/>
  <c r="A17" i="2"/>
  <c r="B127" i="2"/>
  <c r="D128" i="2"/>
  <c r="D76" i="2"/>
  <c r="C128" i="2"/>
  <c r="D97" i="2"/>
  <c r="B20" i="2"/>
  <c r="B85" i="2"/>
  <c r="C95" i="2"/>
  <c r="A103" i="2"/>
  <c r="C129" i="2"/>
  <c r="A50" i="2"/>
  <c r="C150" i="2"/>
  <c r="D58" i="2"/>
  <c r="C154" i="2"/>
  <c r="B94" i="2"/>
  <c r="A18" i="2"/>
  <c r="D155" i="2"/>
  <c r="A157" i="2"/>
  <c r="C67" i="2"/>
  <c r="D126" i="2"/>
  <c r="C143" i="2"/>
  <c r="D111" i="2"/>
  <c r="D104" i="2"/>
  <c r="B123" i="2"/>
  <c r="D14" i="2"/>
  <c r="A99" i="2"/>
  <c r="A7" i="2"/>
  <c r="C82" i="2"/>
  <c r="D98" i="2"/>
  <c r="D13" i="2"/>
  <c r="D163" i="2"/>
  <c r="C134" i="2"/>
  <c r="A160" i="2"/>
  <c r="A47" i="2"/>
  <c r="D27" i="2"/>
  <c r="C141" i="2"/>
  <c r="A104" i="2"/>
  <c r="D77" i="2"/>
  <c r="B124" i="2"/>
  <c r="A81" i="2"/>
  <c r="C59" i="2"/>
  <c r="C144" i="2"/>
  <c r="C47" i="2"/>
  <c r="A122" i="2"/>
  <c r="B155" i="2"/>
  <c r="D122" i="2"/>
  <c r="A97" i="2"/>
  <c r="D110" i="2"/>
  <c r="A38" i="2"/>
  <c r="A15" i="2"/>
  <c r="C34" i="2"/>
  <c r="C78" i="2"/>
  <c r="D112" i="2"/>
  <c r="A93" i="2"/>
  <c r="C131" i="2"/>
  <c r="A106" i="2"/>
  <c r="C23" i="2"/>
  <c r="B66" i="2"/>
  <c r="D86" i="2"/>
  <c r="B113" i="2"/>
  <c r="D54" i="2"/>
  <c r="C126" i="2"/>
  <c r="B143" i="2"/>
  <c r="C111" i="2"/>
  <c r="C104" i="2"/>
  <c r="A129" i="2"/>
  <c r="D61" i="2"/>
  <c r="A134" i="2"/>
  <c r="D22" i="2"/>
  <c r="C122" i="2"/>
  <c r="C107" i="2"/>
  <c r="C110" i="2"/>
  <c r="C94" i="2"/>
  <c r="C142" i="2"/>
  <c r="C155" i="2"/>
  <c r="D123" i="2"/>
  <c r="D143" i="2"/>
  <c r="C22" i="2"/>
  <c r="C66" i="2"/>
  <c r="B58" i="2"/>
  <c r="B104" i="2"/>
  <c r="B107" i="2"/>
  <c r="C75" i="2"/>
  <c r="B126" i="2"/>
  <c r="A98" i="2"/>
  <c r="A116" i="2"/>
  <c r="A135" i="2"/>
  <c r="B111" i="2"/>
  <c r="C61" i="2"/>
  <c r="B154" i="2"/>
  <c r="D94" i="2"/>
  <c r="B142" i="2"/>
  <c r="B35" i="2"/>
  <c r="B65" i="2"/>
  <c r="D66" i="2"/>
  <c r="C58" i="2"/>
  <c r="B122" i="2"/>
  <c r="D107" i="2"/>
  <c r="B75" i="2"/>
  <c r="D45" i="2"/>
  <c r="D7" i="2"/>
  <c r="A96" i="2"/>
  <c r="C153" i="2"/>
  <c r="B110" i="2"/>
  <c r="D154" i="2"/>
  <c r="D142" i="2"/>
  <c r="B54" i="2"/>
  <c r="C123" i="2"/>
  <c r="D23" i="2"/>
  <c r="B114" i="2"/>
  <c r="C74" i="2"/>
  <c r="A133" i="2"/>
  <c r="C60" i="2"/>
  <c r="A83" i="2"/>
  <c r="D88" i="2"/>
  <c r="A28" i="2"/>
  <c r="A21" i="2"/>
  <c r="A126" i="2"/>
  <c r="A59" i="2"/>
  <c r="A147" i="2"/>
  <c r="A19" i="2"/>
  <c r="A14" i="2"/>
  <c r="A101" i="2"/>
  <c r="B48" i="2"/>
  <c r="A112" i="2"/>
  <c r="A119" i="2"/>
  <c r="B93" i="2"/>
  <c r="D124" i="2"/>
  <c r="A131" i="2"/>
  <c r="A9" i="2"/>
  <c r="A41" i="2"/>
  <c r="D144" i="2"/>
  <c r="A45" i="2"/>
  <c r="D156" i="2"/>
  <c r="A136" i="2"/>
  <c r="B47" i="2"/>
  <c r="A85" i="2"/>
  <c r="A39" i="2"/>
  <c r="A72" i="2"/>
  <c r="A77" i="2"/>
  <c r="A66" i="2"/>
  <c r="A149" i="2"/>
  <c r="A141" i="2"/>
  <c r="A24" i="2"/>
  <c r="A56" i="2"/>
  <c r="A36" i="2"/>
  <c r="A11" i="2"/>
  <c r="C121" i="2"/>
  <c r="A87" i="2"/>
  <c r="A54" i="2"/>
  <c r="B160" i="2"/>
  <c r="A76" i="2"/>
  <c r="A34" i="2"/>
  <c r="A118" i="2"/>
  <c r="A100" i="2"/>
  <c r="A124" i="2"/>
  <c r="C29" i="2"/>
  <c r="A91" i="2"/>
  <c r="A58" i="2"/>
  <c r="A162" i="2"/>
  <c r="A128" i="2"/>
  <c r="A64" i="2"/>
  <c r="A108" i="2"/>
  <c r="A60" i="2"/>
  <c r="A144" i="2"/>
  <c r="A61" i="2"/>
  <c r="A10" i="2"/>
  <c r="C65" i="2"/>
  <c r="B60" i="2"/>
  <c r="D159" i="2"/>
  <c r="C42" i="2"/>
  <c r="A12" i="2"/>
  <c r="A125" i="2"/>
  <c r="A102" i="2"/>
  <c r="A163" i="2"/>
  <c r="A114" i="2"/>
  <c r="A111" i="2"/>
  <c r="D160" i="2"/>
  <c r="A89" i="2"/>
  <c r="A67" i="2"/>
  <c r="A137" i="2"/>
  <c r="A30" i="2"/>
  <c r="A132" i="2"/>
  <c r="A143" i="2"/>
  <c r="B59" i="2"/>
  <c r="B64" i="2"/>
  <c r="A29" i="2"/>
  <c r="A48" i="2"/>
  <c r="A82" i="2"/>
  <c r="A62" i="2"/>
  <c r="A73" i="2"/>
  <c r="A156" i="2"/>
  <c r="A86" i="2"/>
  <c r="A68" i="2"/>
  <c r="A22" i="2"/>
  <c r="A46" i="2"/>
  <c r="A158" i="2"/>
  <c r="A25" i="2"/>
  <c r="B77" i="2"/>
  <c r="D28" i="2"/>
  <c r="B125" i="2"/>
  <c r="C77" i="2"/>
  <c r="B156" i="2"/>
  <c r="D93" i="2"/>
  <c r="C27" i="2"/>
  <c r="A113" i="2"/>
  <c r="A84" i="2"/>
  <c r="A40" i="2"/>
  <c r="A164" i="2"/>
  <c r="A145" i="2"/>
  <c r="A42" i="2"/>
  <c r="D141" i="2"/>
  <c r="C124" i="2"/>
  <c r="C21" i="2"/>
  <c r="C86" i="2"/>
  <c r="C98" i="2"/>
  <c r="D117" i="2"/>
  <c r="C14" i="2"/>
  <c r="B97" i="2"/>
  <c r="C55" i="2"/>
  <c r="A140" i="2"/>
  <c r="A35" i="2"/>
  <c r="A161" i="2"/>
  <c r="A57" i="2"/>
  <c r="C162" i="2"/>
  <c r="A150" i="2"/>
  <c r="A92" i="2"/>
  <c r="A148" i="2"/>
  <c r="A94" i="2"/>
  <c r="A146" i="2"/>
  <c r="A117" i="2"/>
  <c r="D24" i="2"/>
  <c r="B37" i="2"/>
  <c r="A75" i="2"/>
  <c r="A26" i="2"/>
  <c r="A65" i="2"/>
  <c r="A70" i="2"/>
  <c r="C105" i="2"/>
  <c r="A16" i="2"/>
  <c r="A13" i="2"/>
  <c r="A120" i="2"/>
  <c r="A78" i="2"/>
  <c r="A121" i="2"/>
  <c r="A43" i="2"/>
  <c r="A127" i="2"/>
  <c r="A95" i="2"/>
  <c r="A130" i="2"/>
  <c r="A90" i="2"/>
  <c r="A55" i="2"/>
  <c r="A107" i="2"/>
  <c r="A53" i="2"/>
  <c r="A123" i="2"/>
  <c r="A32" i="2"/>
  <c r="A153" i="2"/>
  <c r="A51" i="2"/>
  <c r="A79" i="2"/>
  <c r="A151" i="2"/>
  <c r="A20" i="2"/>
  <c r="A37" i="2"/>
  <c r="D49" i="2"/>
  <c r="D48" i="2"/>
  <c r="C20" i="2"/>
  <c r="C115" i="2"/>
  <c r="B72" i="2"/>
  <c r="B147" i="2"/>
  <c r="B27" i="2"/>
  <c r="C114" i="2"/>
  <c r="B118" i="2"/>
  <c r="B87" i="2"/>
  <c r="B119" i="2"/>
  <c r="C68" i="2"/>
  <c r="B42" i="2"/>
  <c r="B99" i="2"/>
  <c r="C57" i="2"/>
  <c r="D87" i="2"/>
  <c r="C118" i="2"/>
  <c r="D20" i="2"/>
  <c r="D11" i="2"/>
  <c r="C156" i="2"/>
  <c r="D130" i="2"/>
  <c r="B134" i="2"/>
  <c r="D131" i="2"/>
  <c r="B23" i="2"/>
  <c r="D101" i="2"/>
  <c r="C139" i="2"/>
  <c r="C96" i="2"/>
  <c r="C11" i="2"/>
  <c r="B91" i="2"/>
  <c r="D114" i="2"/>
  <c r="B12" i="2"/>
  <c r="B129" i="2"/>
  <c r="D150" i="2"/>
  <c r="D56" i="2"/>
  <c r="C92" i="2"/>
  <c r="D55" i="2"/>
  <c r="C15" i="2"/>
  <c r="D41" i="2"/>
  <c r="B11" i="2"/>
  <c r="C130" i="2"/>
  <c r="B95" i="2"/>
  <c r="D129" i="2"/>
  <c r="B150" i="2"/>
  <c r="C6" i="2"/>
  <c r="D92" i="2"/>
  <c r="B151" i="2"/>
  <c r="D15" i="2"/>
  <c r="C41" i="2"/>
  <c r="C102" i="2"/>
  <c r="C79" i="2"/>
  <c r="D71" i="2"/>
  <c r="B135" i="2"/>
  <c r="D30" i="2"/>
  <c r="B130" i="2"/>
  <c r="D95" i="2"/>
  <c r="D6" i="2"/>
  <c r="B56" i="2"/>
  <c r="B96" i="2"/>
  <c r="B92" i="2"/>
  <c r="B34" i="2"/>
  <c r="C81" i="2"/>
  <c r="B144" i="2"/>
  <c r="D140" i="2"/>
  <c r="D68" i="2"/>
  <c r="D35" i="2"/>
  <c r="D42" i="2"/>
  <c r="D47" i="2"/>
  <c r="B138" i="2"/>
  <c r="B121" i="2"/>
  <c r="B159" i="2"/>
  <c r="B109" i="2"/>
  <c r="B164" i="2"/>
  <c r="C24" i="2"/>
  <c r="D57" i="2"/>
  <c r="C48" i="2"/>
  <c r="B163" i="2"/>
  <c r="C18" i="2"/>
  <c r="C140" i="2"/>
  <c r="D134" i="2"/>
  <c r="D151" i="2"/>
  <c r="C32" i="2"/>
  <c r="B32" i="2"/>
  <c r="C16" i="2"/>
  <c r="C17" i="2"/>
  <c r="B51" i="2"/>
  <c r="C50" i="2"/>
  <c r="D158" i="2"/>
  <c r="C158" i="2"/>
  <c r="B157" i="2"/>
  <c r="B31" i="2"/>
  <c r="D31" i="2"/>
  <c r="C31" i="2"/>
  <c r="D84" i="2"/>
  <c r="B83" i="2"/>
  <c r="C84" i="2"/>
  <c r="B84" i="2"/>
  <c r="C38" i="2"/>
  <c r="D38" i="2"/>
  <c r="D148" i="2"/>
  <c r="B148" i="2"/>
  <c r="D149" i="2"/>
  <c r="D83" i="2"/>
  <c r="D18" i="2"/>
  <c r="B10" i="2"/>
  <c r="C10" i="2"/>
  <c r="C9" i="2"/>
  <c r="D9" i="2"/>
  <c r="C152" i="2"/>
  <c r="D152" i="2"/>
  <c r="B153" i="2"/>
  <c r="C25" i="2"/>
  <c r="B25" i="2"/>
  <c r="D25" i="2"/>
  <c r="B43" i="2"/>
  <c r="C43" i="2"/>
  <c r="D44" i="2"/>
  <c r="D103" i="2"/>
  <c r="D102" i="2"/>
  <c r="C63" i="2"/>
  <c r="D62" i="2"/>
  <c r="D63" i="2"/>
  <c r="B39" i="2"/>
  <c r="D39" i="2"/>
  <c r="B40" i="2"/>
  <c r="C62" i="2"/>
  <c r="C73" i="2"/>
  <c r="D50" i="2"/>
  <c r="B36" i="2"/>
  <c r="D72" i="2"/>
  <c r="C71" i="2"/>
  <c r="D73" i="2"/>
  <c r="C51" i="2"/>
  <c r="C37" i="2"/>
  <c r="C149" i="2"/>
  <c r="B38" i="2"/>
  <c r="D40" i="2"/>
  <c r="D99" i="2"/>
  <c r="C45" i="2"/>
  <c r="B63" i="2"/>
  <c r="B44" i="2"/>
  <c r="B136" i="2"/>
  <c r="B115" i="2"/>
  <c r="D116" i="2"/>
  <c r="D161" i="2"/>
  <c r="C161" i="2"/>
  <c r="B161" i="2"/>
  <c r="D162" i="2"/>
  <c r="C8" i="2"/>
  <c r="B8" i="2"/>
  <c r="C36" i="2"/>
  <c r="D36" i="2"/>
  <c r="B146" i="2"/>
  <c r="D146" i="2"/>
  <c r="C145" i="2"/>
  <c r="B145" i="2"/>
  <c r="B132" i="2"/>
  <c r="C133" i="2"/>
  <c r="D132" i="2"/>
  <c r="C132" i="2"/>
  <c r="B133" i="2"/>
  <c r="D106" i="2"/>
  <c r="D105" i="2"/>
  <c r="B106" i="2"/>
  <c r="D19" i="2"/>
  <c r="B19" i="2"/>
  <c r="D89" i="2"/>
  <c r="D90" i="2"/>
  <c r="C147" i="2"/>
  <c r="D147" i="2"/>
  <c r="C108" i="2"/>
  <c r="D16" i="2"/>
  <c r="C70" i="2"/>
  <c r="D100" i="2"/>
  <c r="D43" i="2"/>
  <c r="C106" i="2"/>
  <c r="B103" i="2"/>
  <c r="B21" i="2"/>
  <c r="D59" i="2"/>
  <c r="B74" i="2"/>
  <c r="D46" i="2"/>
  <c r="C125" i="2"/>
  <c r="B141" i="2"/>
  <c r="B49" i="2"/>
  <c r="B28" i="2"/>
  <c r="D33" i="2"/>
  <c r="D164" i="2"/>
  <c r="C35" i="2"/>
  <c r="D121" i="2"/>
  <c r="C93" i="2"/>
  <c r="D34" i="2"/>
  <c r="B78" i="2"/>
  <c r="C160" i="2"/>
  <c r="D21" i="2"/>
  <c r="D96" i="2"/>
  <c r="C97" i="2"/>
  <c r="C56" i="2"/>
  <c r="C120" i="2"/>
  <c r="D60" i="2"/>
  <c r="D51" i="2"/>
  <c r="C64" i="2"/>
  <c r="D137" i="2"/>
  <c r="B69" i="2"/>
  <c r="C159" i="2"/>
  <c r="D74" i="2"/>
  <c r="D125" i="2"/>
  <c r="C49" i="2"/>
  <c r="B80" i="2"/>
  <c r="C28" i="2"/>
  <c r="C33" i="2"/>
  <c r="C164" i="2"/>
  <c r="D65" i="2"/>
  <c r="B57" i="2"/>
  <c r="C137" i="2"/>
  <c r="D69" i="2"/>
  <c r="D52" i="2"/>
  <c r="C138" i="2"/>
  <c r="C100" i="2"/>
  <c r="B90" i="2"/>
  <c r="D81" i="2"/>
  <c r="D78" i="2"/>
  <c r="B120" i="2"/>
  <c r="C52" i="2"/>
  <c r="B101" i="2"/>
  <c r="B16" i="2"/>
  <c r="B102" i="2"/>
  <c r="B6" i="2"/>
  <c r="C80" i="2"/>
  <c r="B70" i="2"/>
  <c r="D135" i="2"/>
  <c r="C30" i="2"/>
  <c r="C89" i="2"/>
  <c r="D118" i="2"/>
  <c r="B116" i="2"/>
  <c r="B41" i="2"/>
  <c r="C163" i="2"/>
  <c r="D12" i="2"/>
  <c r="D53" i="2"/>
  <c r="B100" i="2"/>
  <c r="B52" i="2"/>
  <c r="B17" i="2"/>
  <c r="C46" i="2"/>
  <c r="C83" i="2"/>
  <c r="D79" i="2"/>
  <c r="D80" i="2"/>
  <c r="B18" i="2"/>
  <c r="C12" i="2"/>
  <c r="D157" i="2"/>
  <c r="B108" i="2"/>
  <c r="B61" i="2"/>
  <c r="B139" i="2"/>
  <c r="C40" i="2"/>
  <c r="B81" i="2"/>
  <c r="B24" i="2"/>
  <c r="B53" i="2"/>
  <c r="C113" i="2"/>
  <c r="D70" i="2"/>
  <c r="B158" i="2"/>
  <c r="C39" i="2"/>
  <c r="B73" i="2"/>
  <c r="D85" i="2"/>
  <c r="B71" i="2"/>
  <c r="C99" i="2"/>
  <c r="B131" i="2"/>
  <c r="B105" i="2"/>
  <c r="B117" i="2"/>
  <c r="C87" i="2"/>
  <c r="C13" i="2"/>
  <c r="B152" i="2"/>
  <c r="C119" i="2"/>
  <c r="B14" i="2"/>
  <c r="D115" i="2"/>
  <c r="D32" i="2"/>
  <c r="B22" i="2"/>
  <c r="C116" i="2"/>
  <c r="B45" i="2"/>
  <c r="D145" i="2"/>
  <c r="C151" i="2"/>
  <c r="C91" i="2"/>
  <c r="B67" i="2"/>
  <c r="C90" i="2"/>
  <c r="B89" i="2"/>
  <c r="D37" i="2"/>
  <c r="B88" i="2"/>
  <c r="D109" i="2"/>
  <c r="B30" i="2"/>
  <c r="C148" i="2"/>
  <c r="C26" i="2"/>
  <c r="C44" i="2"/>
  <c r="C135" i="2"/>
  <c r="C103" i="2"/>
  <c r="C7" i="2"/>
  <c r="D29" i="2"/>
  <c r="B9" i="2"/>
  <c r="C72" i="2"/>
  <c r="D8" i="2"/>
  <c r="B112" i="2"/>
  <c r="C146" i="2"/>
  <c r="D136" i="2"/>
  <c r="D10" i="2"/>
  <c r="B29" i="2"/>
  <c r="D138" i="2"/>
  <c r="C101" i="2"/>
  <c r="B149" i="2"/>
  <c r="D17" i="2"/>
  <c r="D82" i="2"/>
  <c r="B46" i="2"/>
  <c r="D153" i="2"/>
  <c r="B79" i="2"/>
  <c r="D133" i="2"/>
  <c r="C157" i="2"/>
  <c r="B33" i="2"/>
  <c r="D108" i="2"/>
  <c r="B162" i="2"/>
  <c r="D139" i="2"/>
  <c r="C53" i="2"/>
  <c r="D113" i="2"/>
  <c r="B86" i="2"/>
  <c r="B62" i="2"/>
  <c r="B50" i="2"/>
  <c r="D119" i="2"/>
  <c r="B68" i="2"/>
  <c r="D91" i="2"/>
  <c r="B26" i="2"/>
  <c r="B137" i="2"/>
  <c r="B7" i="2"/>
  <c r="AA11" i="1"/>
  <c r="AB11" i="1" s="1"/>
  <c r="AB10" i="1" s="1"/>
  <c r="Z15" i="1"/>
  <c r="AA10" i="1" l="1"/>
  <c r="AB9" i="1" s="1"/>
  <c r="AE11" i="1"/>
  <c r="AF11" i="1" s="1"/>
  <c r="AC11" i="1"/>
  <c r="AD11" i="1" s="1"/>
  <c r="AA9" i="1" l="1"/>
  <c r="AB7" i="1" s="1"/>
  <c r="AC10" i="1"/>
  <c r="AD10" i="1" s="1"/>
  <c r="AA7" i="1" l="1"/>
  <c r="AB6" i="1" s="1"/>
  <c r="AC9" i="1"/>
  <c r="AD9" i="1" s="1"/>
  <c r="AC7" i="1" l="1"/>
  <c r="AD7" i="1" s="1"/>
  <c r="AA6" i="1"/>
  <c r="AC6" i="1" l="1"/>
  <c r="AD6" i="1" s="1"/>
  <c r="AB5" i="1"/>
  <c r="AA5" i="1" l="1"/>
  <c r="AB4" i="1" s="1"/>
  <c r="AA4" i="1" l="1"/>
  <c r="AB3" i="1" s="1"/>
  <c r="AC5" i="1"/>
  <c r="AD5" i="1" s="1"/>
  <c r="AA3" i="1" l="1"/>
  <c r="AB15" i="1" s="1"/>
  <c r="AC4" i="1"/>
  <c r="AD4" i="1" s="1"/>
  <c r="AC3" i="1" l="1"/>
  <c r="AA15" i="1"/>
  <c r="R4" i="1" s="1"/>
  <c r="AB2" i="1"/>
  <c r="T7" i="1" l="1"/>
  <c r="T6" i="1"/>
  <c r="AC15" i="1"/>
  <c r="AE10" i="1"/>
  <c r="AD3" i="1"/>
  <c r="AD15" i="1" s="1"/>
  <c r="AC16" i="1" l="1"/>
  <c r="AF10" i="1"/>
  <c r="AE9" i="1"/>
  <c r="AF9" i="1" l="1"/>
  <c r="AE7" i="1"/>
  <c r="AF7" i="1" l="1"/>
  <c r="AE6" i="1"/>
  <c r="AF6" i="1" l="1"/>
  <c r="AE5" i="1"/>
  <c r="AF5" i="1" l="1"/>
  <c r="AE4" i="1"/>
  <c r="AF4" i="1" l="1"/>
  <c r="AE3" i="1"/>
  <c r="AF3" i="1" s="1"/>
  <c r="AG3" i="1" s="1"/>
  <c r="AE16" i="1"/>
  <c r="AG4" i="1" l="1"/>
  <c r="AH4" i="1" s="1"/>
  <c r="AH3" i="1"/>
  <c r="AG15" i="1"/>
  <c r="AG5" i="1" l="1"/>
  <c r="AH5" i="1" s="1"/>
  <c r="AI5" i="1" s="1"/>
  <c r="AK5" i="1" s="1"/>
  <c r="AJ4" i="1"/>
  <c r="AJ5" i="1" s="1"/>
  <c r="AI3" i="1"/>
  <c r="AI4" i="1"/>
  <c r="AK4" i="1" s="1"/>
  <c r="AG6" i="1" l="1"/>
  <c r="AH6" i="1" s="1"/>
  <c r="AJ6" i="1"/>
  <c r="AJ7" i="1" l="1"/>
  <c r="AG7" i="1"/>
  <c r="AH7" i="1" s="1"/>
  <c r="AI7" i="1" s="1"/>
  <c r="AK7" i="1" s="1"/>
  <c r="AI6" i="1"/>
  <c r="AK6" i="1" s="1"/>
  <c r="AG9" i="1" l="1"/>
  <c r="AH9" i="1" s="1"/>
  <c r="AI9" i="1" s="1"/>
  <c r="AK9" i="1" s="1"/>
  <c r="AJ9" i="1"/>
  <c r="AG10" i="1" l="1"/>
  <c r="AG11" i="1" s="1"/>
  <c r="AH11" i="1" s="1"/>
  <c r="AI11" i="1" s="1"/>
  <c r="AK11" i="1" s="1"/>
  <c r="AJ10" i="1"/>
  <c r="AH10" i="1" l="1"/>
  <c r="AJ11" i="1" s="1"/>
  <c r="AH15" i="1" l="1"/>
  <c r="AH16" i="1" s="1"/>
  <c r="AI10" i="1"/>
  <c r="AI15" i="1" s="1"/>
  <c r="AH17" i="1" l="1"/>
  <c r="AK10" i="1"/>
  <c r="AK17" i="1" s="1"/>
  <c r="AI16" i="1" s="1"/>
  <c r="AL7" i="1" s="1"/>
  <c r="AK16" i="1" l="1"/>
  <c r="AL9" i="1"/>
  <c r="AL4" i="1"/>
  <c r="AL6" i="1"/>
  <c r="AL11" i="1"/>
  <c r="AL3" i="1"/>
  <c r="AL5" i="1"/>
  <c r="AM11" i="1"/>
  <c r="AM10" i="1" s="1"/>
  <c r="AM9" i="1" s="1"/>
  <c r="AM7" i="1" s="1"/>
  <c r="AM6" i="1" s="1"/>
  <c r="AM5" i="1" s="1"/>
  <c r="AM4" i="1" s="1"/>
  <c r="AM3" i="1" s="1"/>
  <c r="AL10" i="1"/>
  <c r="AN5" i="1" l="1"/>
  <c r="AO5" i="1" s="1"/>
  <c r="AN6" i="1"/>
  <c r="AP6" i="1" s="1"/>
  <c r="AN3" i="1"/>
  <c r="AP3" i="1" s="1"/>
  <c r="AN7" i="1"/>
  <c r="AO7" i="1" s="1"/>
  <c r="AN9" i="1"/>
  <c r="AO9" i="1" s="1"/>
  <c r="AN10" i="1"/>
  <c r="AP10" i="1" s="1"/>
  <c r="AN11" i="1"/>
  <c r="AP11" i="1" s="1"/>
  <c r="AN4" i="1"/>
  <c r="AO4" i="1" s="1"/>
  <c r="AP5" i="1" l="1"/>
  <c r="AP7" i="1"/>
  <c r="AP4" i="1"/>
  <c r="AO11" i="1"/>
  <c r="AO6" i="1"/>
  <c r="AO3" i="1"/>
  <c r="AO10" i="1"/>
  <c r="AP9" i="1"/>
  <c r="AN15" i="1"/>
  <c r="AN16" i="1" s="1"/>
  <c r="AP15" i="1" l="1"/>
  <c r="AQ7" i="1" s="1"/>
  <c r="AR7" i="1" s="1"/>
  <c r="AN17" i="1"/>
  <c r="AO15" i="1"/>
  <c r="R3" i="1" s="1"/>
  <c r="Q7" i="1" s="1"/>
  <c r="AQ11" i="1" l="1"/>
  <c r="AR11" i="1" s="1"/>
  <c r="AQ5" i="1"/>
  <c r="AR5" i="1" s="1"/>
  <c r="AQ3" i="1"/>
  <c r="AR3" i="1" s="1"/>
  <c r="AS3" i="1" s="1"/>
  <c r="AT3" i="1" s="1"/>
  <c r="AQ6" i="1"/>
  <c r="AR6" i="1" s="1"/>
  <c r="AQ4" i="1"/>
  <c r="AR4" i="1" s="1"/>
  <c r="AQ10" i="1"/>
  <c r="AR10" i="1" s="1"/>
  <c r="AQ9" i="1"/>
  <c r="AR9" i="1" s="1"/>
  <c r="T8" i="1"/>
  <c r="J13" i="1"/>
  <c r="AS4" i="1" l="1"/>
  <c r="AT4" i="1" s="1"/>
  <c r="AU4" i="1" s="1"/>
  <c r="AW4" i="1" s="1"/>
  <c r="AQ16" i="1"/>
  <c r="AS15" i="1" s="1"/>
  <c r="AV4" i="1"/>
  <c r="AU3" i="1"/>
  <c r="AV5" i="1" l="1"/>
  <c r="AS5" i="1"/>
  <c r="AT5" i="1" s="1"/>
  <c r="AU5" i="1" s="1"/>
  <c r="AW5" i="1" s="1"/>
  <c r="AS6" i="1" l="1"/>
  <c r="AS7" i="1" s="1"/>
  <c r="AT7" i="1" s="1"/>
  <c r="AU7" i="1" s="1"/>
  <c r="AW7" i="1" s="1"/>
  <c r="AV6" i="1"/>
  <c r="AS9" i="1" l="1"/>
  <c r="AT9" i="1" s="1"/>
  <c r="AU9" i="1" s="1"/>
  <c r="AW9" i="1" s="1"/>
  <c r="AT6" i="1"/>
  <c r="AU6" i="1" s="1"/>
  <c r="AV7" i="1" l="1"/>
  <c r="AV10" i="1"/>
  <c r="AS10" i="1"/>
  <c r="AT10" i="1" s="1"/>
  <c r="AV11" i="1" s="1"/>
  <c r="AV9" i="1"/>
  <c r="AW6" i="1"/>
  <c r="AS11" i="1" l="1"/>
  <c r="AT11" i="1" s="1"/>
  <c r="AT15" i="1" s="1"/>
  <c r="AT17" i="1" s="1"/>
  <c r="AU10" i="1"/>
  <c r="AW10" i="1" s="1"/>
  <c r="AU11" i="1" l="1"/>
  <c r="AW11" i="1" s="1"/>
  <c r="AW17" i="1" s="1"/>
  <c r="AT16" i="1"/>
  <c r="AU15" i="1" l="1"/>
  <c r="AU16" i="1" s="1"/>
  <c r="AX6" i="1" s="1"/>
  <c r="AW16" i="1"/>
  <c r="AY11" i="1" l="1"/>
  <c r="AY10" i="1" s="1"/>
  <c r="AY9" i="1" s="1"/>
  <c r="AY7" i="1" s="1"/>
  <c r="AY6" i="1" s="1"/>
  <c r="AY5" i="1" s="1"/>
  <c r="AY4" i="1" s="1"/>
  <c r="AY3" i="1" s="1"/>
  <c r="AX9" i="1"/>
  <c r="AX10" i="1"/>
  <c r="AX4" i="1"/>
  <c r="AX11" i="1"/>
  <c r="AX7" i="1"/>
  <c r="AX3" i="1"/>
  <c r="AX5" i="1"/>
  <c r="AZ9" i="1" l="1"/>
  <c r="BA9" i="1" s="1"/>
  <c r="BB9" i="1" s="1"/>
  <c r="AZ6" i="1"/>
  <c r="BA6" i="1" s="1"/>
  <c r="BB6" i="1" s="1"/>
  <c r="AZ4" i="1"/>
  <c r="BA4" i="1" s="1"/>
  <c r="BB4" i="1" s="1"/>
  <c r="AZ11" i="1"/>
  <c r="BA11" i="1" s="1"/>
  <c r="BB11" i="1" s="1"/>
  <c r="AZ7" i="1"/>
  <c r="BA7" i="1" s="1"/>
  <c r="BB7" i="1" s="1"/>
  <c r="AZ3" i="1"/>
  <c r="BA3" i="1" s="1"/>
  <c r="AZ5" i="1"/>
  <c r="BA5" i="1" s="1"/>
  <c r="BB5" i="1" s="1"/>
  <c r="AZ10" i="1"/>
  <c r="BA10" i="1" s="1"/>
  <c r="BB10" i="1" s="1"/>
  <c r="AZ15" i="1" l="1"/>
  <c r="AZ16" i="1" s="1"/>
  <c r="BA15" i="1"/>
  <c r="BB3" i="1"/>
  <c r="BB15" i="1" s="1"/>
  <c r="AZ17" i="1" l="1"/>
  <c r="BC3" i="1"/>
  <c r="BD3" i="1" s="1"/>
  <c r="BE3" i="1" s="1"/>
  <c r="BC11" i="1"/>
  <c r="BC6" i="1"/>
  <c r="BD6" i="1" s="1"/>
  <c r="BC4" i="1"/>
  <c r="BD4" i="1" s="1"/>
  <c r="BC10" i="1"/>
  <c r="BD10" i="1" s="1"/>
  <c r="BC7" i="1"/>
  <c r="BD7" i="1" s="1"/>
  <c r="BC9" i="1"/>
  <c r="BD9" i="1" s="1"/>
  <c r="BC5" i="1"/>
  <c r="BD5" i="1" s="1"/>
  <c r="BC16" i="1" l="1"/>
  <c r="BD11" i="1"/>
  <c r="BF3" i="1"/>
  <c r="BE4" i="1"/>
  <c r="BF4" i="1" s="1"/>
  <c r="BG4" i="1" s="1"/>
  <c r="BH4" i="1" s="1"/>
  <c r="BG3" i="1" l="1"/>
  <c r="BE5" i="1"/>
  <c r="BE15" i="1"/>
  <c r="BH3" i="1" l="1"/>
  <c r="BF5" i="1"/>
  <c r="BE6" i="1"/>
  <c r="BF6" i="1" s="1"/>
  <c r="BG6" i="1" s="1"/>
  <c r="BH6" i="1" s="1"/>
  <c r="BE7" i="1" l="1"/>
  <c r="BF7" i="1" s="1"/>
  <c r="BG7" i="1" s="1"/>
  <c r="BH7" i="1" s="1"/>
  <c r="BG5" i="1"/>
  <c r="BH5" i="1" l="1"/>
  <c r="BE9" i="1"/>
  <c r="BF9" i="1" s="1"/>
  <c r="BG9" i="1" s="1"/>
  <c r="BH9" i="1" s="1"/>
  <c r="BE10" i="1" l="1"/>
  <c r="BF10" i="1" s="1"/>
  <c r="BG10" i="1" s="1"/>
  <c r="BH10" i="1" s="1"/>
  <c r="BE11" i="1" l="1"/>
  <c r="BF11" i="1" s="1"/>
  <c r="BG11" i="1" s="1"/>
  <c r="V6" i="1" l="1"/>
  <c r="BF15" i="1"/>
  <c r="BF16" i="1" s="1"/>
  <c r="BH11" i="1"/>
  <c r="BH15" i="1" s="1"/>
  <c r="BG15" i="1"/>
  <c r="BF17" i="1" l="1"/>
  <c r="V3" i="1"/>
  <c r="V5" i="1"/>
  <c r="V7" i="1" s="1"/>
  <c r="T5" i="1"/>
  <c r="V4" i="1" l="1"/>
  <c r="AB18" i="1"/>
  <c r="AB17" i="1"/>
  <c r="V10" i="1"/>
  <c r="V11" i="1"/>
  <c r="V9" i="1"/>
  <c r="Q8" i="1" l="1"/>
  <c r="N14" i="1"/>
  <c r="Q6" i="1"/>
  <c r="B1" i="1" s="1"/>
  <c r="J18" i="1" l="1"/>
  <c r="J15" i="1"/>
  <c r="J16" i="1"/>
  <c r="J14" i="1"/>
  <c r="J17" i="1"/>
</calcChain>
</file>

<file path=xl/sharedStrings.xml><?xml version="1.0" encoding="utf-8"?>
<sst xmlns="http://schemas.openxmlformats.org/spreadsheetml/2006/main" count="6569" uniqueCount="1505">
  <si>
    <t>Aquatic Plants Looking Good List</t>
  </si>
  <si>
    <t>Height</t>
  </si>
  <si>
    <t>Shelves</t>
  </si>
  <si>
    <t>Space</t>
  </si>
  <si>
    <t>Top shelf</t>
  </si>
  <si>
    <t>T1a</t>
  </si>
  <si>
    <t>Balance</t>
  </si>
  <si>
    <t>T1b</t>
  </si>
  <si>
    <t>T1 Total</t>
  </si>
  <si>
    <t>T1+ Total</t>
  </si>
  <si>
    <t>T2a</t>
  </si>
  <si>
    <t>T2b</t>
  </si>
  <si>
    <t>T2 Total</t>
  </si>
  <si>
    <t>T2+ Total</t>
  </si>
  <si>
    <t>T3a</t>
  </si>
  <si>
    <t>T3b</t>
  </si>
  <si>
    <t>T3 Total</t>
  </si>
  <si>
    <t>Number of trolleys</t>
  </si>
  <si>
    <t>Space Left on Trolley</t>
  </si>
  <si>
    <t>Short</t>
  </si>
  <si>
    <t>Centre Name:</t>
  </si>
  <si>
    <t>Number of shelves</t>
  </si>
  <si>
    <t>Number of shelves to fill</t>
  </si>
  <si>
    <t>Contact Name:</t>
  </si>
  <si>
    <t>Contact No:</t>
  </si>
  <si>
    <t>Medium</t>
  </si>
  <si>
    <t>Minimum Order - 1 full trolley</t>
  </si>
  <si>
    <t>Tel: 01342 833 144                   Email: orders@beaverplants.co.uk                  Fax: 01342 834 169</t>
  </si>
  <si>
    <t>- Mark here if you would like your order delivered on a new green CC tag trolley</t>
  </si>
  <si>
    <t>Tall</t>
  </si>
  <si>
    <t>Key:</t>
  </si>
  <si>
    <t>Priority - 1 = Top selling/Must stock, 2 = Good seller, 3 = slower seller</t>
  </si>
  <si>
    <t>ALL ORDERS MUST BE IN BY MONDAY 4PM FOR GUARANTEED SAME WEEK DELIVERY!</t>
  </si>
  <si>
    <t>Trolley Builder</t>
  </si>
  <si>
    <t>To help you make your order up to a full trolley please see the trolley diagram to the right.</t>
  </si>
  <si>
    <t>The trolley builder is an estimate. If your order goes slightly over 1 trolley don't worry, we will try to fit it on 1 trolley or remove some stock.</t>
  </si>
  <si>
    <t>Full</t>
  </si>
  <si>
    <t>Trolley</t>
  </si>
  <si>
    <t>Filled</t>
  </si>
  <si>
    <t>Total 1L to fill</t>
  </si>
  <si>
    <t>Total 2L to fill</t>
  </si>
  <si>
    <t>Order</t>
  </si>
  <si>
    <t>x1</t>
  </si>
  <si>
    <t>1L Marginals @ £2.36</t>
  </si>
  <si>
    <t>50 per shelf</t>
  </si>
  <si>
    <t>Barcode: 5021353888805</t>
  </si>
  <si>
    <t>Trays(x10)</t>
  </si>
  <si>
    <t>Priority</t>
  </si>
  <si>
    <t>Zone</t>
  </si>
  <si>
    <t>In Stock</t>
  </si>
  <si>
    <t>Range</t>
  </si>
  <si>
    <t>x10</t>
  </si>
  <si>
    <t>Assorted Marginals</t>
  </si>
  <si>
    <t>our best selection</t>
  </si>
  <si>
    <t>our choice, best plants available on the nursery</t>
  </si>
  <si>
    <t>1,2,3</t>
  </si>
  <si>
    <t>Y</t>
  </si>
  <si>
    <t>1L Marginals</t>
  </si>
  <si>
    <t>Assorted Pondside</t>
  </si>
  <si>
    <t>take the worry out of ordering, best plants available</t>
  </si>
  <si>
    <t>Acorus calamus</t>
  </si>
  <si>
    <t>sweet scented rush</t>
  </si>
  <si>
    <t>fragrant, green iris-like foliage</t>
  </si>
  <si>
    <t>Yes</t>
  </si>
  <si>
    <t>NEW</t>
  </si>
  <si>
    <t>2,3</t>
  </si>
  <si>
    <t>y</t>
  </si>
  <si>
    <t>Acorus calamus 'Variegatus'</t>
  </si>
  <si>
    <t>variegated rush</t>
  </si>
  <si>
    <t>fragrant, creamy-white variegated foliage</t>
  </si>
  <si>
    <t>Acorus gramineus 'Golden Delight'</t>
  </si>
  <si>
    <t>golden rush</t>
  </si>
  <si>
    <t>evergreen leaves grow into attractive fans.</t>
  </si>
  <si>
    <t>1,2</t>
  </si>
  <si>
    <t>Acorus gramineus 'Ogon'</t>
  </si>
  <si>
    <t>golden gramineus</t>
  </si>
  <si>
    <t>wonderful golden/green variegated foliage</t>
  </si>
  <si>
    <t>Acorus gramineus 'Variegatus'</t>
  </si>
  <si>
    <t>dwarf rush</t>
  </si>
  <si>
    <t>evergreen green/cream variegated foliage</t>
  </si>
  <si>
    <t>Alisma lanceolata</t>
  </si>
  <si>
    <t>slender plantain</t>
  </si>
  <si>
    <t>elongate leaves, pinkish-white flowers</t>
  </si>
  <si>
    <t xml:space="preserve">Alisma parviflora  </t>
  </si>
  <si>
    <t>American plantain</t>
  </si>
  <si>
    <t>small dainty white flowers over rounded foliage</t>
  </si>
  <si>
    <t>Alisma plantago</t>
  </si>
  <si>
    <t>water plantain</t>
  </si>
  <si>
    <t>small dainty white flowers over ovate foliage</t>
  </si>
  <si>
    <t>Anemopsis Californicum</t>
  </si>
  <si>
    <t>apache beads</t>
  </si>
  <si>
    <t>name derived from seeds used in necklaces</t>
  </si>
  <si>
    <t>Apium nodiflorum</t>
  </si>
  <si>
    <t>fools watercress</t>
  </si>
  <si>
    <t>mat forming native with green foliage</t>
  </si>
  <si>
    <t>Arundo donax variegata</t>
  </si>
  <si>
    <t>giant variegated reed</t>
  </si>
  <si>
    <t>large, arching, green/white striped foliage</t>
  </si>
  <si>
    <t>Arum italicum</t>
  </si>
  <si>
    <t>lords and ladies</t>
  </si>
  <si>
    <t>moisture loving, berries appear after flower</t>
  </si>
  <si>
    <t>Blechnum spicant</t>
  </si>
  <si>
    <t>hard fern</t>
  </si>
  <si>
    <t>neat, tufted evergreen fern to 50cm</t>
  </si>
  <si>
    <t>Butomus umbellatus</t>
  </si>
  <si>
    <t>flowering rush</t>
  </si>
  <si>
    <t>dainty pink flowers over rush-like foliage</t>
  </si>
  <si>
    <t>Calla palustris</t>
  </si>
  <si>
    <t>bog arum</t>
  </si>
  <si>
    <t>white arum-like flowers followed by bright red berries</t>
  </si>
  <si>
    <t>Caltha palustris</t>
  </si>
  <si>
    <t>marsh marigold</t>
  </si>
  <si>
    <t>native marigold a must have for any pond</t>
  </si>
  <si>
    <t>Caltha palustris Alba</t>
  </si>
  <si>
    <t>himalayan marigold</t>
  </si>
  <si>
    <t>white flowering form of our native marsh marigold</t>
  </si>
  <si>
    <t>Caltha palustris 'Flore Pleno'</t>
  </si>
  <si>
    <t>double marsh marigold</t>
  </si>
  <si>
    <t>beautiful double yellow flowered marigold</t>
  </si>
  <si>
    <t>Caltha polypetala</t>
  </si>
  <si>
    <t>giant kingcup</t>
  </si>
  <si>
    <t>the largest of the marigolds, a real specimen</t>
  </si>
  <si>
    <t>Indian shot plant</t>
  </si>
  <si>
    <t>our selection of best looking cannas</t>
  </si>
  <si>
    <t>Canna Happy Emily</t>
  </si>
  <si>
    <t> shines like the sun with its beautiful yellow colour</t>
  </si>
  <si>
    <t>Canna Happy Julia</t>
  </si>
  <si>
    <t>deep green/purple foliage over red petals</t>
  </si>
  <si>
    <t>Cardamine pratensis</t>
  </si>
  <si>
    <t>lady's smock</t>
  </si>
  <si>
    <t>bloom colour varies, from pale lavender, white and mauve</t>
  </si>
  <si>
    <t>Carex Bowles Golden</t>
  </si>
  <si>
    <t>bowles sedge</t>
  </si>
  <si>
    <t>wonderful, vivid golden foliage, with dark flower heads</t>
  </si>
  <si>
    <t>Carex Panicea</t>
  </si>
  <si>
    <t>carnation grass</t>
  </si>
  <si>
    <t>native sedge, bluish slender leaves, compact</t>
  </si>
  <si>
    <t>Carex pendula</t>
  </si>
  <si>
    <t>pendulous sedge</t>
  </si>
  <si>
    <t>native sedge, drooping catkin-like flowers</t>
  </si>
  <si>
    <t>Carex Pseudocyperus</t>
  </si>
  <si>
    <t>cyperus sedge</t>
  </si>
  <si>
    <t>wildlife friendly sedge, drooping seedheads</t>
  </si>
  <si>
    <t>Cotula coronopifolia</t>
  </si>
  <si>
    <t>golden buttons</t>
  </si>
  <si>
    <t xml:space="preserve">an introduced aromatic, with golden yellow flowers </t>
  </si>
  <si>
    <t>Cyperus alternifolius</t>
  </si>
  <si>
    <t>umbrella sedge</t>
  </si>
  <si>
    <t>wonderful, architectural umbrella-like bracts</t>
  </si>
  <si>
    <t>Cyperus glaber</t>
  </si>
  <si>
    <t>flat sedge</t>
  </si>
  <si>
    <t>hardy member of the sedge family, similar to alternifolius</t>
  </si>
  <si>
    <t>Cyperus longus</t>
  </si>
  <si>
    <t>sweet galingale</t>
  </si>
  <si>
    <t>attracive, tall, arching, green foliage, brown spikelets</t>
  </si>
  <si>
    <t>Cyperus papyrus</t>
  </si>
  <si>
    <t>paper reed</t>
  </si>
  <si>
    <t>unusual mopheads atop slender green foliage</t>
  </si>
  <si>
    <t>Dryopteris erythrosora</t>
  </si>
  <si>
    <t>Japanese shield fern</t>
  </si>
  <si>
    <t>new fronds appear red/copper</t>
  </si>
  <si>
    <t>Equisetum japonicum</t>
  </si>
  <si>
    <t>barred horsetail</t>
  </si>
  <si>
    <t>striking must-have for all ponds, evergreen</t>
  </si>
  <si>
    <t>Equisetum Robustum</t>
  </si>
  <si>
    <t>scouring rush</t>
  </si>
  <si>
    <t>prehistoric, larger member of the horsetails</t>
  </si>
  <si>
    <t>Equisetum scirpoides</t>
  </si>
  <si>
    <t>dwarf scouring rush</t>
  </si>
  <si>
    <t>minature, thin green stems, barred with black rings</t>
  </si>
  <si>
    <t>Eriophorum angustifolium</t>
  </si>
  <si>
    <t>cotton grass</t>
  </si>
  <si>
    <t>fluffy heads of white cotton-like flowers</t>
  </si>
  <si>
    <t>Hardy Ferns Assorted</t>
  </si>
  <si>
    <t>Mixed Ferns</t>
  </si>
  <si>
    <t>Our choice, best selection</t>
  </si>
  <si>
    <t>Filipendula ulmaria</t>
  </si>
  <si>
    <t>meadowsweet</t>
  </si>
  <si>
    <t>creamy white flowers over green arching stems</t>
  </si>
  <si>
    <t>Fritilaria meleagris</t>
  </si>
  <si>
    <t>fritillery</t>
  </si>
  <si>
    <t>captivating bell shaped, pendulous flowers</t>
  </si>
  <si>
    <t>Geum rivale</t>
  </si>
  <si>
    <t>water avens</t>
  </si>
  <si>
    <t>native perennial, dusky pink, drooping flowers</t>
  </si>
  <si>
    <t>Glyceria Maxima</t>
  </si>
  <si>
    <t>Reed Sweet Grass</t>
  </si>
  <si>
    <t>emergent, with green grass-like foliage</t>
  </si>
  <si>
    <t>Glyceria Variegata</t>
  </si>
  <si>
    <t>green &amp; white sweet grass</t>
  </si>
  <si>
    <t>attractive creamy variegated foliage</t>
  </si>
  <si>
    <t>Gratiola officinalis</t>
  </si>
  <si>
    <t>summer snowflake</t>
  </si>
  <si>
    <t>dainty white flowers over bright green foliage</t>
  </si>
  <si>
    <t>Gunnera manicata</t>
  </si>
  <si>
    <t>giant rhubarb</t>
  </si>
  <si>
    <t>biggest and most spectacular of all herbaceous plants</t>
  </si>
  <si>
    <t>Hosta Assorted</t>
  </si>
  <si>
    <t>plantain lily</t>
  </si>
  <si>
    <t>selection of best stock, picked by us</t>
  </si>
  <si>
    <t>Houttuynia cordata</t>
  </si>
  <si>
    <t>orange peel</t>
  </si>
  <si>
    <t>wonderful aromatic foliage, used in chinese medecine</t>
  </si>
  <si>
    <t>Houttuynia cordata Bobo</t>
  </si>
  <si>
    <t>multi-coloured variegated foliage of green,red and cream</t>
  </si>
  <si>
    <t>Houttuynia cordata Flame</t>
  </si>
  <si>
    <t>much lighter in colour than variegata</t>
  </si>
  <si>
    <t>Houttuynia cordata variegata</t>
  </si>
  <si>
    <t>harlequin plant</t>
  </si>
  <si>
    <t>scented, multi coloured foliage, smelling of orange peel</t>
  </si>
  <si>
    <t>Hypericum elodes</t>
  </si>
  <si>
    <t>marsh st johns wort</t>
  </si>
  <si>
    <t>mat-forming native with yellow flowers</t>
  </si>
  <si>
    <t>Iris ensata</t>
  </si>
  <si>
    <t xml:space="preserve"> Japanese flag</t>
  </si>
  <si>
    <t>one of the largest flowers of all aquatic irises, stunning</t>
  </si>
  <si>
    <t>Iris ensata 'Ruby King'</t>
  </si>
  <si>
    <t>Iris laevigata blue</t>
  </si>
  <si>
    <t>Iris laevigata 'Snowdrift'</t>
  </si>
  <si>
    <t>Iris louisiana</t>
  </si>
  <si>
    <t>louisiana water iris</t>
  </si>
  <si>
    <t>wonderful, evergreen water iris originating from USA</t>
  </si>
  <si>
    <t>Iris louisana 'Arabian bayou'</t>
  </si>
  <si>
    <t>striking yellow &amp; white flowers</t>
  </si>
  <si>
    <t>Iris louisiana 'Black Gamecock'</t>
  </si>
  <si>
    <t>striking dark-purple velvety flowers</t>
  </si>
  <si>
    <t>Iris louisiana Mixed</t>
  </si>
  <si>
    <t>red &amp; yellow louisiana water iris</t>
  </si>
  <si>
    <t>best selection of these wonderful irises</t>
  </si>
  <si>
    <t>Iris louisiana pagaletta</t>
  </si>
  <si>
    <t>offering purple blooms over evergreen foliage</t>
  </si>
  <si>
    <t>Iris pseudacorus</t>
  </si>
  <si>
    <t>yellow iris</t>
  </si>
  <si>
    <t>the only native aquatic iris, hardy and tough</t>
  </si>
  <si>
    <t>Iris pseudacorus 'Variegatus'</t>
  </si>
  <si>
    <t>variegated flag</t>
  </si>
  <si>
    <t>attractive yellow  and green variegated foliage</t>
  </si>
  <si>
    <t>Iris 'Rose Queen'</t>
  </si>
  <si>
    <t>Iris setosa</t>
  </si>
  <si>
    <t>blue flag</t>
  </si>
  <si>
    <t>bluish-purple blooms over compact green leaves</t>
  </si>
  <si>
    <t>Iris sibirica</t>
  </si>
  <si>
    <t>Siberian iris</t>
  </si>
  <si>
    <t>Siberian iris, showy flowers on slender stems</t>
  </si>
  <si>
    <t>Iris sibirica 'Ceaser's Brother'</t>
  </si>
  <si>
    <t>intense violet flowers with speckled markings on the throat</t>
  </si>
  <si>
    <t>Iris sibirica 'Dawn Waltz'</t>
  </si>
  <si>
    <t xml:space="preserve">flowing, ruffled soft lavender blossoms, pale yellow throats </t>
  </si>
  <si>
    <t>Iris sibirica 'Gull's Wing'</t>
  </si>
  <si>
    <t>Iris sibirica 'Kabluey'</t>
  </si>
  <si>
    <t>spectacular dark violet flowers with creamy-white centers</t>
  </si>
  <si>
    <t>Iris sibirica 'Having Fun'</t>
  </si>
  <si>
    <t>layers of ruffled, rounded petals in a soft violet shade</t>
  </si>
  <si>
    <t>Iris sibirica 'Silver Edge'</t>
  </si>
  <si>
    <t>stunning, rich blue flowers edged in silver</t>
  </si>
  <si>
    <t>Iris sibirica 'Sparkling Rose'</t>
  </si>
  <si>
    <t>beautiful white flowers with yellow throats</t>
  </si>
  <si>
    <t>Iris sibirica White</t>
  </si>
  <si>
    <t>Iris vericolor 'Dark Aura'</t>
  </si>
  <si>
    <t>american water iris</t>
  </si>
  <si>
    <t>slender green foliage, tinged red in the spring</t>
  </si>
  <si>
    <t>Iris versicolor</t>
  </si>
  <si>
    <t xml:space="preserve">wonderful blue flowers over sword-like foliage, </t>
  </si>
  <si>
    <t>Iris versicolor 'Kermisina'</t>
  </si>
  <si>
    <t>beautiful claret flowers over green strap-like foliage</t>
  </si>
  <si>
    <t>Iris versicolor 'Pacifica'</t>
  </si>
  <si>
    <t>deep purple flowers with yellow streaks</t>
  </si>
  <si>
    <t>Juncus effusus</t>
  </si>
  <si>
    <t>soft rush</t>
  </si>
  <si>
    <t xml:space="preserve">erect, dark green stems with brown seed heads </t>
  </si>
  <si>
    <t>Juncus effusus 'Spiralis'</t>
  </si>
  <si>
    <t>corkscrew rush</t>
  </si>
  <si>
    <t>unusual corkscrew like foliage, evergreen</t>
  </si>
  <si>
    <t>Juncus ensifolius</t>
  </si>
  <si>
    <t>flying hedgehogs</t>
  </si>
  <si>
    <t>attractive and unusual dark brown seed heads</t>
  </si>
  <si>
    <t>Juncus Inflexus</t>
  </si>
  <si>
    <t>hard rush</t>
  </si>
  <si>
    <t>glaucous blue, needle like foliage, to 50cm</t>
  </si>
  <si>
    <t>Lobelia deep pink</t>
  </si>
  <si>
    <t>pink cardinal</t>
  </si>
  <si>
    <t>contrasting pink flower spikes over green foliage</t>
  </si>
  <si>
    <t>Lobelia Fan red</t>
  </si>
  <si>
    <t>red cardinal</t>
  </si>
  <si>
    <t>red flowers over elongate green leaves</t>
  </si>
  <si>
    <t>Lobelia pink</t>
  </si>
  <si>
    <t>pink flowers over elongate green leaves</t>
  </si>
  <si>
    <t>Lobelia Queen Victoria</t>
  </si>
  <si>
    <t>scarlet red flowers over stunning crimson foliage</t>
  </si>
  <si>
    <t>Lobelia speciosa deep red</t>
  </si>
  <si>
    <t>scarlet cardinal</t>
  </si>
  <si>
    <t>vivid scarlet flowers over bronze leaves</t>
  </si>
  <si>
    <t>Lobelia speciosa scarlet</t>
  </si>
  <si>
    <t>Lobelia syphilitica</t>
  </si>
  <si>
    <t>blue cardinal</t>
  </si>
  <si>
    <t>spikes of brilliant true blue flowers</t>
  </si>
  <si>
    <t>Lobelia syphilitica 'Alba'</t>
  </si>
  <si>
    <t>white cardinal</t>
  </si>
  <si>
    <t>pure white flowers over green foliage</t>
  </si>
  <si>
    <t>Lobelia vedrariensis</t>
  </si>
  <si>
    <t>purple loosestrife</t>
  </si>
  <si>
    <t>offering long spires of royal purple flowers</t>
  </si>
  <si>
    <t>Lychnis flos cuculi</t>
  </si>
  <si>
    <t>ragged robin</t>
  </si>
  <si>
    <t>star-shaped deep rose-pink flowers</t>
  </si>
  <si>
    <t>Lychnis flos cuculi 'Alba'</t>
  </si>
  <si>
    <t>white flowers over scruffy green leaves</t>
  </si>
  <si>
    <t>Lysichiton camtschatcensis</t>
  </si>
  <si>
    <t>white skunk cabbage</t>
  </si>
  <si>
    <t>large white spathe over fragrant green foliage</t>
  </si>
  <si>
    <t>Lysimachia nummularia</t>
  </si>
  <si>
    <t>creeping jenny</t>
  </si>
  <si>
    <t>perfect for the pondside or margin</t>
  </si>
  <si>
    <t>Lysimachia nummularia 'aurea'</t>
  </si>
  <si>
    <t>golden jenny</t>
  </si>
  <si>
    <t>low rafting mat of golden foliage with yellow flowers</t>
  </si>
  <si>
    <t>Lythrum salicaria</t>
  </si>
  <si>
    <t>beautiful tall pink flowers throughout the season</t>
  </si>
  <si>
    <t>Mazus reptans</t>
  </si>
  <si>
    <t>chinese marsh flower</t>
  </si>
  <si>
    <t>native to Asia, abundance of blue flowers</t>
  </si>
  <si>
    <t>Mazus reptans Alba</t>
  </si>
  <si>
    <t>white chinese marsh flower</t>
  </si>
  <si>
    <t>native to Asia, abundance of white flowers</t>
  </si>
  <si>
    <t>Mentha aquatica</t>
  </si>
  <si>
    <t>water mint</t>
  </si>
  <si>
    <t>a must have herb for every pondkeeper</t>
  </si>
  <si>
    <t>Mentha pulegium</t>
  </si>
  <si>
    <t>penny royal</t>
  </si>
  <si>
    <t>a creeping mint, compact and aromatic</t>
  </si>
  <si>
    <t>Menyanthes trifoliata</t>
  </si>
  <si>
    <t>bog bean</t>
  </si>
  <si>
    <t>starry white flowers and unusual tri-lobed leaves</t>
  </si>
  <si>
    <t>Mimulus guttatus</t>
  </si>
  <si>
    <t>monkey flower</t>
  </si>
  <si>
    <t>yellow flowers over green foliage, north american native</t>
  </si>
  <si>
    <t>Mimulus luteus</t>
  </si>
  <si>
    <t>blotched monkey flower</t>
  </si>
  <si>
    <t>abundance of yellow and red blotched flowers</t>
  </si>
  <si>
    <t>Mimulus Queen's Prize</t>
  </si>
  <si>
    <t>queens prize</t>
  </si>
  <si>
    <t>blood-red blotches on yellow petals</t>
  </si>
  <si>
    <t>Mimulus ringens</t>
  </si>
  <si>
    <t>lavender musk</t>
  </si>
  <si>
    <t>name stems from flowers likeness to a monkey's face</t>
  </si>
  <si>
    <t>Myosotis palustris</t>
  </si>
  <si>
    <t>water forget-me-not</t>
  </si>
  <si>
    <t>must have for every pond, small blue flowers</t>
  </si>
  <si>
    <t>Myosotis palustris 'Alba'</t>
  </si>
  <si>
    <t>white water forget-me-not</t>
  </si>
  <si>
    <t>white flowers over green foliage</t>
  </si>
  <si>
    <t>Myosotis palustris Pink</t>
  </si>
  <si>
    <t>pink water forget-me-not</t>
  </si>
  <si>
    <t>pink flowers over green foliage</t>
  </si>
  <si>
    <t>Nasturtium Aquaticum</t>
  </si>
  <si>
    <t>watercress</t>
  </si>
  <si>
    <t>the natural way to keep green algae at bay</t>
  </si>
  <si>
    <t>Oenathe fistulosa</t>
  </si>
  <si>
    <t>water dropwort</t>
  </si>
  <si>
    <t>white flowers over carrot top looking leaves</t>
  </si>
  <si>
    <t>Oenanthe 'Flamingo'</t>
  </si>
  <si>
    <t>variegated water dropwort</t>
  </si>
  <si>
    <t>wonderful tricolour, pink, green and white foliage</t>
  </si>
  <si>
    <t xml:space="preserve">Phalaris arundinacea 'Picta'   </t>
  </si>
  <si>
    <t>gardener's garters</t>
  </si>
  <si>
    <t>offering bold stripes of white, pale and dark green</t>
  </si>
  <si>
    <t>Phalaris Arctic Sun</t>
  </si>
  <si>
    <t>1,3</t>
  </si>
  <si>
    <t>Phragmites variegata</t>
  </si>
  <si>
    <t>1,4</t>
  </si>
  <si>
    <t>Polystichum Polyblepharum</t>
  </si>
  <si>
    <t>japanese lace fern</t>
  </si>
  <si>
    <t>showy, compact olive-green foliage</t>
  </si>
  <si>
    <t>Pontederia cordata</t>
  </si>
  <si>
    <t>pickeral weed</t>
  </si>
  <si>
    <t>american native with handsome blue flowers</t>
  </si>
  <si>
    <t>Pontederia cordata 'Alba'</t>
  </si>
  <si>
    <t>handsome white flowering form of pickeral weed</t>
  </si>
  <si>
    <t>1,7</t>
  </si>
  <si>
    <t>Pontederia Lanceolata</t>
  </si>
  <si>
    <t>blue  poker-like flowers overlance shaped leaves</t>
  </si>
  <si>
    <t>Preslia cervina</t>
  </si>
  <si>
    <t>water spearmint</t>
  </si>
  <si>
    <t>attractive lilac flowers and strongly scented foliage</t>
  </si>
  <si>
    <t>Preslia cervina alba</t>
  </si>
  <si>
    <t>Primula Beesiana</t>
  </si>
  <si>
    <t>candelabra primula</t>
  </si>
  <si>
    <t>smaller growing Chinese variety</t>
  </si>
  <si>
    <t>Primula bulleyana</t>
  </si>
  <si>
    <t>candelabra</t>
  </si>
  <si>
    <t>candelabra primula with orange-yellow flowers</t>
  </si>
  <si>
    <t>Primula denticulata</t>
  </si>
  <si>
    <t>himalayan primula</t>
  </si>
  <si>
    <t>impressive rounded heads of flowers</t>
  </si>
  <si>
    <t>Primula denticulata 'Alba'</t>
  </si>
  <si>
    <t>himilayan primula</t>
  </si>
  <si>
    <t>distinctive large spherical white flower heads</t>
  </si>
  <si>
    <t>Primula Denticulata Deep Rose</t>
  </si>
  <si>
    <t>drumstick primula</t>
  </si>
  <si>
    <t>beautiful deep rose flowers with a yellow eye</t>
  </si>
  <si>
    <t>Primula Denticulata Lilac</t>
  </si>
  <si>
    <t>tiny lilac-purple flowers in spring until early summer</t>
  </si>
  <si>
    <t>Primula denticulata 'Rubin'</t>
  </si>
  <si>
    <t>Asian native, stunning cylindrical flowers</t>
  </si>
  <si>
    <t>Primula florindae</t>
  </si>
  <si>
    <t>himalayan cowslip</t>
  </si>
  <si>
    <t>heavily scented Tibetan native primula</t>
  </si>
  <si>
    <t>Primula Japonica White</t>
  </si>
  <si>
    <t>candelabra primrose</t>
  </si>
  <si>
    <t>beautiful japanese primula with white flowers</t>
  </si>
  <si>
    <t>Primula 'Miller's Crimson'</t>
  </si>
  <si>
    <t>classic, elegant red, candleabra primula</t>
  </si>
  <si>
    <t>Primula Mix</t>
  </si>
  <si>
    <t>a mix of beautiful flowers hand picked by our nursery</t>
  </si>
  <si>
    <t>Primula rosea</t>
  </si>
  <si>
    <t>meadow primrose</t>
  </si>
  <si>
    <t>pretty primrose with rose red blooms</t>
  </si>
  <si>
    <t>Primula veris</t>
  </si>
  <si>
    <t>cowslip</t>
  </si>
  <si>
    <t>dainty lemon-yellow flowers over crinkly, green leaves</t>
  </si>
  <si>
    <t>Primula vialii</t>
  </si>
  <si>
    <t>orchid primula</t>
  </si>
  <si>
    <t>high impact purple flowers with red tips, unusual</t>
  </si>
  <si>
    <t>Primula vulgaris</t>
  </si>
  <si>
    <t>primrose</t>
  </si>
  <si>
    <t>native primrose, hails the start of spring</t>
  </si>
  <si>
    <t>Ranunculus flammula</t>
  </si>
  <si>
    <t>lesser spearwort</t>
  </si>
  <si>
    <t>wonderful little yellow buttercup flowers</t>
  </si>
  <si>
    <t>Ranunculus lingua grandiflora</t>
  </si>
  <si>
    <t>greater spearwort</t>
  </si>
  <si>
    <t>largest of the buttercup family</t>
  </si>
  <si>
    <t>Rumex Sanguineus</t>
  </si>
  <si>
    <t>red vein dock</t>
  </si>
  <si>
    <t>large green ovate leaves with red veins</t>
  </si>
  <si>
    <t>Sagittaria latifolia</t>
  </si>
  <si>
    <t>arrowhead</t>
  </si>
  <si>
    <t>emergant plant with broadleaf arrowhead leaves</t>
  </si>
  <si>
    <t>Sagittaria sagittifolia</t>
  </si>
  <si>
    <t>white flowers contrasting with green arrowhead foliage</t>
  </si>
  <si>
    <t>Saururus cernuus</t>
  </si>
  <si>
    <t>lizard's tail</t>
  </si>
  <si>
    <t>unusual flower resembling a lizard's tail</t>
  </si>
  <si>
    <t>Schizostylis Alba</t>
  </si>
  <si>
    <t>white flag</t>
  </si>
  <si>
    <t>pretty white flowers in the late summer</t>
  </si>
  <si>
    <t>Schizostylis Oregon Sunset</t>
  </si>
  <si>
    <t>Orange flag</t>
  </si>
  <si>
    <t>A summer sunset sky sums up the colours of this flower</t>
  </si>
  <si>
    <t xml:space="preserve">Schizostylis Pink      </t>
  </si>
  <si>
    <t>pink flag</t>
  </si>
  <si>
    <t>subtle pink flowers over iris-like foliage</t>
  </si>
  <si>
    <t>Schizostylis Red</t>
  </si>
  <si>
    <t>red flag</t>
  </si>
  <si>
    <t>deep red flowers throughout autumn</t>
  </si>
  <si>
    <t>Scirpus albescens</t>
  </si>
  <si>
    <t>striped rush</t>
  </si>
  <si>
    <t>contrasting longitudinal stripes of green and cream</t>
  </si>
  <si>
    <t>Scirpus lacustris</t>
  </si>
  <si>
    <t>bulrush</t>
  </si>
  <si>
    <t>a great native, suitable for larger ponds- BIG</t>
  </si>
  <si>
    <t>Scirpus Zebrinus</t>
  </si>
  <si>
    <t>zebra rush</t>
  </si>
  <si>
    <t>striking green and creamy-white horizontally banded stems</t>
  </si>
  <si>
    <t>Scrophularia Aquatica</t>
  </si>
  <si>
    <t>water figwort</t>
  </si>
  <si>
    <t>summer maroon blooms over nettle-like foliage</t>
  </si>
  <si>
    <t>Sisyrinchium Californicum</t>
  </si>
  <si>
    <t>yellow satin flower</t>
  </si>
  <si>
    <t>tiny iris-like foliage with an abundance of yellow flowers</t>
  </si>
  <si>
    <t>Sparganum erectum</t>
  </si>
  <si>
    <t>bur reed</t>
  </si>
  <si>
    <t>scented white flowers turn to spiky seed heads</t>
  </si>
  <si>
    <t>Sagittaria japonica</t>
  </si>
  <si>
    <t>double japanese arrowhead</t>
  </si>
  <si>
    <t xml:space="preserve">snowball’ flowers with striking arrow-shaped foliage. </t>
  </si>
  <si>
    <t>Thalia Dealbata</t>
  </si>
  <si>
    <t>alligator flag</t>
  </si>
  <si>
    <t xml:space="preserve">native to swamps and ponds in southern USA </t>
  </si>
  <si>
    <t>Tulbaghia Violacea</t>
  </si>
  <si>
    <t>society garlic</t>
  </si>
  <si>
    <t>offering large umbels of fragrant lilac flowers</t>
  </si>
  <si>
    <t>Typha angustifolia</t>
  </si>
  <si>
    <t>BIG</t>
  </si>
  <si>
    <t>lesser reedmace</t>
  </si>
  <si>
    <t>often wrongly named lesser bulrush</t>
  </si>
  <si>
    <t>Typha Gracilis</t>
  </si>
  <si>
    <t>Typha latifolia</t>
  </si>
  <si>
    <t xml:space="preserve"> reedmace</t>
  </si>
  <si>
    <t>incorrectly named bullrush, large specimen</t>
  </si>
  <si>
    <t>Typha laxmanii</t>
  </si>
  <si>
    <t>slender reedmace</t>
  </si>
  <si>
    <t>probably the most elegant of the reedmace family</t>
  </si>
  <si>
    <t>Typha minima</t>
  </si>
  <si>
    <t>dwarf reedmace</t>
  </si>
  <si>
    <t>the most delicate of the reedmace, ideal for features</t>
  </si>
  <si>
    <t>Veronica beccabunga</t>
  </si>
  <si>
    <t>brooklime</t>
  </si>
  <si>
    <t>a real functional native, great for all ponds</t>
  </si>
  <si>
    <t>Zantedeschia aethiopica</t>
  </si>
  <si>
    <t>arum lily</t>
  </si>
  <si>
    <t>wonderull funnel-shaped white spathe-like flowers</t>
  </si>
  <si>
    <t>Zantedeschia alpina-NEW</t>
  </si>
  <si>
    <t>Zantedeschia himalaya-NEW</t>
  </si>
  <si>
    <t>Zantedeschia 'Crowborough'</t>
  </si>
  <si>
    <t>discovered growing in a garden in England</t>
  </si>
  <si>
    <t>Total 1L Marginals (x10)</t>
  </si>
  <si>
    <t>Barcode: 5021353005011</t>
  </si>
  <si>
    <t>x100</t>
  </si>
  <si>
    <t>Bunched Ceratophyllum Demersum</t>
  </si>
  <si>
    <t>Hornwort</t>
  </si>
  <si>
    <r>
      <t>bunch with lead</t>
    </r>
    <r>
      <rPr>
        <sz val="7"/>
        <color rgb="FFFF0000"/>
        <rFont val="Calibri"/>
        <family val="2"/>
      </rPr>
      <t>- limited availability</t>
    </r>
  </si>
  <si>
    <t>3,4</t>
  </si>
  <si>
    <t>Bunched Oxys</t>
  </si>
  <si>
    <t>Bunched Elodea Canadensis</t>
  </si>
  <si>
    <t>canadian pondweed</t>
  </si>
  <si>
    <t>bunch with lead</t>
  </si>
  <si>
    <t>Bunched Fontinalis</t>
  </si>
  <si>
    <t>willow moss</t>
  </si>
  <si>
    <t>Bunched Hottonia palustris</t>
  </si>
  <si>
    <t>water violet</t>
  </si>
  <si>
    <t>NEW FOR 2019- bunch with lead</t>
  </si>
  <si>
    <t>Bunched Myriophyllum Spicatum</t>
  </si>
  <si>
    <t>water milfoil</t>
  </si>
  <si>
    <t>Bunched Potamogeton Crispus</t>
  </si>
  <si>
    <t>curly-leaf pondweed</t>
  </si>
  <si>
    <t>Bunched Ranunculus Aquatilis</t>
  </si>
  <si>
    <t>water crowfoot</t>
  </si>
  <si>
    <t>x50</t>
  </si>
  <si>
    <t>Netted Ceratophyllum Demersum</t>
  </si>
  <si>
    <t>with label and barcode</t>
  </si>
  <si>
    <t>Netted Elodea Canadensis</t>
  </si>
  <si>
    <t>Netted Fontinalis</t>
  </si>
  <si>
    <t>Netted Hottonia palustris</t>
  </si>
  <si>
    <t>NEW FOR 2019- with label and barcode</t>
  </si>
  <si>
    <t>Netted Myriophyllum Spicatum</t>
  </si>
  <si>
    <t>Netted Potamogeton Crispus</t>
  </si>
  <si>
    <t>Netted Ranunculus Aquatilis</t>
  </si>
  <si>
    <t>Total Nets (x1)</t>
  </si>
  <si>
    <t>1L Oxygenators @ £2.36</t>
  </si>
  <si>
    <t>Barcode: 5021353001020</t>
  </si>
  <si>
    <t>Assorted Oxygenators</t>
  </si>
  <si>
    <t>1L Oxygenators</t>
  </si>
  <si>
    <t>Anagallis Tenella</t>
  </si>
  <si>
    <t>Callitriche</t>
  </si>
  <si>
    <t>starwort</t>
  </si>
  <si>
    <t>suited to deeper ponds, native and noninvasive</t>
  </si>
  <si>
    <t>Eleocharis Acicularis</t>
  </si>
  <si>
    <t>hairgrass</t>
  </si>
  <si>
    <t>tiny grass, ideal oxy. For the margins</t>
  </si>
  <si>
    <t>Hippuris vulgaris</t>
  </si>
  <si>
    <t>marestail</t>
  </si>
  <si>
    <t>a real tough plant, now a 1st choice oxy</t>
  </si>
  <si>
    <t>Hottonia palustris</t>
  </si>
  <si>
    <t>soft lilac-pink flowers throughout summer</t>
  </si>
  <si>
    <t>Hydrocotyle var.</t>
  </si>
  <si>
    <t>variegated pennywort</t>
  </si>
  <si>
    <t>dainty green foliage with cream edges</t>
  </si>
  <si>
    <t>Hydrocotyle Vulgaris</t>
  </si>
  <si>
    <t>marsh pennywort</t>
  </si>
  <si>
    <t>dainty circular green foliage</t>
  </si>
  <si>
    <t xml:space="preserve">Myriophyllum brasiliensis     </t>
  </si>
  <si>
    <t>red stemmed p. feather</t>
  </si>
  <si>
    <t>attractive red stems, green foliage</t>
  </si>
  <si>
    <t>Myriophyllum crispatum</t>
  </si>
  <si>
    <t>spiked milfoil</t>
  </si>
  <si>
    <t>olive green, feather-like foliage</t>
  </si>
  <si>
    <t>Myriophyllum Propium</t>
  </si>
  <si>
    <t>Spiked Water Milfoil</t>
  </si>
  <si>
    <t>attractive spikey appearance with tiny red flowers</t>
  </si>
  <si>
    <t>2,4</t>
  </si>
  <si>
    <t>Pilularia globulifera</t>
  </si>
  <si>
    <t>pillwort</t>
  </si>
  <si>
    <t>endangered native species of fern</t>
  </si>
  <si>
    <t>Ranunculus Aquatilis</t>
  </si>
  <si>
    <t>one of the few oxygenating to flower</t>
  </si>
  <si>
    <t>Scirpus Cernuus</t>
  </si>
  <si>
    <t>cotton bud grass</t>
  </si>
  <si>
    <t>grass, with tiny flowers, almost fibre optic</t>
  </si>
  <si>
    <t>Scirpus Isolepis</t>
  </si>
  <si>
    <t>bristle club rush</t>
  </si>
  <si>
    <t>compact grass suitable for the margins</t>
  </si>
  <si>
    <t>Total 1L Oxygenators (x10)</t>
  </si>
  <si>
    <t>2L Oxygenators @ £3.42</t>
  </si>
  <si>
    <t>24 per shelf</t>
  </si>
  <si>
    <t>Barcode: 5021353777116</t>
  </si>
  <si>
    <t>Pots(x3)</t>
  </si>
  <si>
    <t>x3</t>
  </si>
  <si>
    <t>2L Oxygenators</t>
  </si>
  <si>
    <t>Total 2L Oxygenators (x3)</t>
  </si>
  <si>
    <t>2L Pondside @ £3.42</t>
  </si>
  <si>
    <t>Barcode: 5021353002317</t>
  </si>
  <si>
    <t>Trays(x3)</t>
  </si>
  <si>
    <t>2L Pondside</t>
  </si>
  <si>
    <t>Assorted Ferns</t>
  </si>
  <si>
    <t>Allium Ursinum</t>
  </si>
  <si>
    <t>wild garlic</t>
  </si>
  <si>
    <t>rounded head of white star-like flowers</t>
  </si>
  <si>
    <t>Asplenium scolopendrium</t>
  </si>
  <si>
    <t>harts tongue fern</t>
  </si>
  <si>
    <t>native fern, perfect for pondside planting</t>
  </si>
  <si>
    <t>Astilbe Assorted</t>
  </si>
  <si>
    <t>astilbe</t>
  </si>
  <si>
    <t>a selection of various shades of white, pink and red flowers</t>
  </si>
  <si>
    <t>Astilbe younique carmine</t>
  </si>
  <si>
    <t>compact habit with beautiful large flower carmine plume</t>
  </si>
  <si>
    <t>Astilbe younique cerise</t>
  </si>
  <si>
    <t>short, compact and rich cherry red flowers</t>
  </si>
  <si>
    <t>Astilbe younique salmon</t>
  </si>
  <si>
    <t>wonderful new hybrid with large flower plume</t>
  </si>
  <si>
    <t>Astilbe Silvery Pink</t>
  </si>
  <si>
    <t>dense plumes of feather-like silvery pink flowers</t>
  </si>
  <si>
    <t>Astilbe younique Lilac</t>
  </si>
  <si>
    <t>very floriferous, compact, perfect for the bog garden</t>
  </si>
  <si>
    <t>Astilbe younique Pink</t>
  </si>
  <si>
    <t>double the number of flowers than other astilbe</t>
  </si>
  <si>
    <t>Astilbe younique White</t>
  </si>
  <si>
    <t>lacy green foliage topped with dense plumes of white</t>
  </si>
  <si>
    <t>Athyrium filix-femina</t>
  </si>
  <si>
    <t>lady fern</t>
  </si>
  <si>
    <t xml:space="preserve">graceful, bright green, filigree-like foliage </t>
  </si>
  <si>
    <t>Athyrium nipponicum</t>
  </si>
  <si>
    <t>Painted fern</t>
  </si>
  <si>
    <t>one of the most colourful ferns</t>
  </si>
  <si>
    <t>Athyrium nipponicum pictum</t>
  </si>
  <si>
    <t>Japanese painted fern</t>
  </si>
  <si>
    <t xml:space="preserve">striking, shades of green, purple on silver </t>
  </si>
  <si>
    <t>distinctive, elegant, comb-like fronds</t>
  </si>
  <si>
    <t>Our best available Cannas</t>
  </si>
  <si>
    <t>Canna ambassador</t>
  </si>
  <si>
    <t>Canna Australia</t>
  </si>
  <si>
    <t>Canna Eric Neubert</t>
  </si>
  <si>
    <t>Canna Happy Carmen</t>
  </si>
  <si>
    <t>beautiful flowers dark red and very compact</t>
  </si>
  <si>
    <t>Canna Happy Cleo</t>
  </si>
  <si>
    <t>vibrant orange petals over green foliage</t>
  </si>
  <si>
    <t>Canna Happy Isabel</t>
  </si>
  <si>
    <t>eye catching pink flower and green foliage</t>
  </si>
  <si>
    <t>Canna Happy Wilma</t>
  </si>
  <si>
    <t>large, blousy, lilylike blooms in a salmon shade</t>
  </si>
  <si>
    <t>Dryopteris affinis</t>
  </si>
  <si>
    <t>scaly male fern</t>
  </si>
  <si>
    <t>handsome shuttlecock-type fern</t>
  </si>
  <si>
    <t>Autumn fern</t>
  </si>
  <si>
    <t>evergreen Asian fern with bipinnate red/green fronds</t>
  </si>
  <si>
    <t>Dryopteris Felix Mas</t>
  </si>
  <si>
    <t>male fern</t>
  </si>
  <si>
    <t>deciduous with shuttlecock-like fronds</t>
  </si>
  <si>
    <t>Hemerocallis</t>
  </si>
  <si>
    <t>day lily</t>
  </si>
  <si>
    <t>assorted flower colours over green foliage</t>
  </si>
  <si>
    <t>Hosta Abiqua Drinking Gourd</t>
  </si>
  <si>
    <t>very large cupped leaf foliage, blue green.</t>
  </si>
  <si>
    <t>Hosta Anne</t>
  </si>
  <si>
    <t>Dark green thick leaves with wide creamy margin.</t>
  </si>
  <si>
    <t>Hosta Captains Adventures</t>
  </si>
  <si>
    <t>wide creamy-white margin and darker green streaking</t>
  </si>
  <si>
    <t>Hosta Don Stevens</t>
  </si>
  <si>
    <t>yellow-white margin &amp; red dotted scapes.</t>
  </si>
  <si>
    <t>Hosta Firn Line</t>
  </si>
  <si>
    <t>grey-green leaves with creamy-white margins.</t>
  </si>
  <si>
    <t>Hosta Fortunei Hyacinthina</t>
  </si>
  <si>
    <t>large glaucous-green leaves</t>
  </si>
  <si>
    <t>Hosta Fragrant Bouquet</t>
  </si>
  <si>
    <t>light green leaves  with a creamy white edge</t>
  </si>
  <si>
    <t>Hosta Francee</t>
  </si>
  <si>
    <t>very popular white edged 'Fortunei'</t>
  </si>
  <si>
    <t>Hosta Frances Williams</t>
  </si>
  <si>
    <t>large green and yellow margined heart-shaped leaves</t>
  </si>
  <si>
    <t>Hosta halcyon</t>
  </si>
  <si>
    <t>wonderful blue green textured foliage</t>
  </si>
  <si>
    <t>Hosta Morning Star</t>
  </si>
  <si>
    <t>dark green margin surrounds the yellow leaf centre.</t>
  </si>
  <si>
    <t>Hosta Patriot</t>
  </si>
  <si>
    <t xml:space="preserve">striking broad white margins, </t>
  </si>
  <si>
    <t>Hosta Pizzazz</t>
  </si>
  <si>
    <t>Blue with creamy later and a white edge.</t>
  </si>
  <si>
    <t>Hosta Sting</t>
  </si>
  <si>
    <t>thick dark green leaves with a white flamed center</t>
  </si>
  <si>
    <t>Hosta Sugar Daddy</t>
  </si>
  <si>
    <t>Round puckered blue leaves with a yellow margin.</t>
  </si>
  <si>
    <t>Hosta Tokudama Flavocircinalis</t>
  </si>
  <si>
    <t>Blue with yellow a margin and heavily rugose.</t>
  </si>
  <si>
    <t>Iris Sibirica Blue</t>
  </si>
  <si>
    <t>Siberian iris, showy blue flowers on slender stems</t>
  </si>
  <si>
    <t>Iris sibirica 'Happy Returns'</t>
  </si>
  <si>
    <t>Medium violet blue, heavily gold signal</t>
  </si>
  <si>
    <t>Iris sibirica 'Rosy Bows'</t>
  </si>
  <si>
    <t>ruffled blousy blooms are stunning over clumps foliage</t>
  </si>
  <si>
    <t>Iris sibirica 'Snow Queen'</t>
  </si>
  <si>
    <t>lilac-pink petals with a white veined base</t>
  </si>
  <si>
    <t>Ligularia dentata 'Desdemona'</t>
  </si>
  <si>
    <t>leopard plant</t>
  </si>
  <si>
    <t>originating from China, tall stems of yellow flowers</t>
  </si>
  <si>
    <t>Lobelia speciosa deep Red</t>
  </si>
  <si>
    <t>contrasting deep rose flower spikes over green foliage</t>
  </si>
  <si>
    <t>Lycopus europaeus</t>
  </si>
  <si>
    <t>gypsywort</t>
  </si>
  <si>
    <t>native plant historically used to lower blood pressure</t>
  </si>
  <si>
    <t>Matteuccia struthiopteris</t>
  </si>
  <si>
    <t>ostrich fern</t>
  </si>
  <si>
    <t>large, pale green, lacy fronds</t>
  </si>
  <si>
    <t>Osmunda regalis</t>
  </si>
  <si>
    <t>royal fern</t>
  </si>
  <si>
    <t>a large, stunning fern, suited to the pond margins</t>
  </si>
  <si>
    <t>Polystichium Herrenhausen</t>
  </si>
  <si>
    <t>soft shield fern</t>
  </si>
  <si>
    <t>semi-evergreen fern, suited to the pondside</t>
  </si>
  <si>
    <t>Polystichum setiferum</t>
  </si>
  <si>
    <t>offering evergreen, soft, dark green fronds</t>
  </si>
  <si>
    <t>Rodgersia pinnata</t>
  </si>
  <si>
    <t>rodgersia</t>
  </si>
  <si>
    <t>striking plant for the bog garden</t>
  </si>
  <si>
    <t>Total 2L Pondside (x3)</t>
  </si>
  <si>
    <r>
      <t>2L Gardeners Choice</t>
    </r>
    <r>
      <rPr>
        <b/>
        <sz val="14"/>
        <color rgb="FF000000"/>
        <rFont val="Calibri"/>
        <family val="2"/>
      </rPr>
      <t xml:space="preserve"> @ £3.42</t>
    </r>
  </si>
  <si>
    <t>Barcode: 5021353014372</t>
  </si>
  <si>
    <t>2L Gardeners Choice</t>
  </si>
  <si>
    <t>sweet rush</t>
  </si>
  <si>
    <t>variegated sweet rush</t>
  </si>
  <si>
    <t>Carex acutiformis</t>
  </si>
  <si>
    <t>lesser pond sedge</t>
  </si>
  <si>
    <t>tall, indigenous sedge, unusual brown flower spikes</t>
  </si>
  <si>
    <t>Carex muskingumensis</t>
  </si>
  <si>
    <t>musk sedge</t>
  </si>
  <si>
    <t>feathery bright green foliage</t>
  </si>
  <si>
    <t>Carex panicea</t>
  </si>
  <si>
    <t>BEST</t>
  </si>
  <si>
    <t>St Johns wort</t>
  </si>
  <si>
    <t>yes</t>
  </si>
  <si>
    <t>Japanese flag</t>
  </si>
  <si>
    <t>large claret blooms over green strap-like foliage</t>
  </si>
  <si>
    <t>Japanese water iris</t>
  </si>
  <si>
    <t>offering arching sword-like foliage and blue flowers</t>
  </si>
  <si>
    <t>white blooms with lilac markings, stunning</t>
  </si>
  <si>
    <t>Iris louisiana blue</t>
  </si>
  <si>
    <t>native of southeastern united states</t>
  </si>
  <si>
    <t>beautiful white/yellow blooms over mid-green leaves</t>
  </si>
  <si>
    <t>Iris louisiana yellow</t>
  </si>
  <si>
    <t>louisiana iris</t>
  </si>
  <si>
    <t>Iris pseudacorus 'Bastardii'</t>
  </si>
  <si>
    <t>yellow flag</t>
  </si>
  <si>
    <t>broad sword-like foliage and creamy yellow flowers</t>
  </si>
  <si>
    <t>Iris pseudacorus 'Berlin Tiger'</t>
  </si>
  <si>
    <t>flag</t>
  </si>
  <si>
    <t>striking pale yellow flowers with veined brown markings</t>
  </si>
  <si>
    <t>Iris pseudacorus 'Crème de la Crème'</t>
  </si>
  <si>
    <t>a beautiful variety of the yellow flag, creamy white flowers</t>
  </si>
  <si>
    <t>japanese water iris</t>
  </si>
  <si>
    <t>gorgeous rose-pink flowers with darker veining</t>
  </si>
  <si>
    <t>wonderful blue flowers over sword-like foliage</t>
  </si>
  <si>
    <t>Iris Versicolor Gerald Derby</t>
  </si>
  <si>
    <t>arching sword-like leaves, lovely claret flowers</t>
  </si>
  <si>
    <t>Lobelia speciosa deep rose</t>
  </si>
  <si>
    <t>cardinal</t>
  </si>
  <si>
    <t>purple cardinal</t>
  </si>
  <si>
    <t>Penny royal</t>
  </si>
  <si>
    <t>Myosotis palustris Alba</t>
  </si>
  <si>
    <t>golden yellow and green foliage, excellent filter feeder</t>
  </si>
  <si>
    <t>Pontederia lanceolata</t>
  </si>
  <si>
    <t>great spearwort</t>
  </si>
  <si>
    <t>buttercup yellow flowers over ovate green foliage</t>
  </si>
  <si>
    <t>V GOOD</t>
  </si>
  <si>
    <t>V. BIG</t>
  </si>
  <si>
    <t>a great native, suitable for larger ponds</t>
  </si>
  <si>
    <t>Sisyrinchium californicum</t>
  </si>
  <si>
    <t>satin flower</t>
  </si>
  <si>
    <t>yellow flowers, top of miniature Iris-type leaves</t>
  </si>
  <si>
    <t>Thalia dealbata</t>
  </si>
  <si>
    <t>reedmace</t>
  </si>
  <si>
    <t>compact and less invaisive than other reedmace</t>
  </si>
  <si>
    <t>hardy arum lily</t>
  </si>
  <si>
    <t>wonderful compact variety with cream speckled foliage</t>
  </si>
  <si>
    <t>Pure white blooms, Extremely high flower count</t>
  </si>
  <si>
    <t>Total 2L Gardeners Choice (x3)</t>
  </si>
  <si>
    <t>Pots</t>
  </si>
  <si>
    <t>3L Marginal with 2 plants</t>
  </si>
  <si>
    <t>offering a finished product complete with 2 marginals</t>
  </si>
  <si>
    <t>3L Marginal with 3 plants</t>
  </si>
  <si>
    <t>Total 3L Marginals with 2 plants</t>
  </si>
  <si>
    <t>5L Marginals @ £5.73</t>
  </si>
  <si>
    <t>Barcode: 5021353002300</t>
  </si>
  <si>
    <t>our selection</t>
  </si>
  <si>
    <t>5L Marginals</t>
  </si>
  <si>
    <t>Golden delight</t>
  </si>
  <si>
    <t>Acorus gramineus 'ogon'</t>
  </si>
  <si>
    <t>Carex Pendula</t>
  </si>
  <si>
    <t>Hypericum Elodes</t>
  </si>
  <si>
    <t>Iris pseudacorus 'variegatus'</t>
  </si>
  <si>
    <t>FULL</t>
  </si>
  <si>
    <t>Siberian Iris</t>
  </si>
  <si>
    <t>flowers are white, of course, leaning toward ivory</t>
  </si>
  <si>
    <t>Siberian iris, showy white flowers on slender stems</t>
  </si>
  <si>
    <t>Mentha Aquatica</t>
  </si>
  <si>
    <t>Mentha Pulegium</t>
  </si>
  <si>
    <t>Nasturtium aquaticum</t>
  </si>
  <si>
    <t>Preslia Cervina</t>
  </si>
  <si>
    <t>Ranunculus Flammula</t>
  </si>
  <si>
    <t>Rumex Hydrolapathum</t>
  </si>
  <si>
    <t>great water dock</t>
  </si>
  <si>
    <t>this native also hearalds from Europe and Asia</t>
  </si>
  <si>
    <t>Typha Angustifolia</t>
  </si>
  <si>
    <t>Typha Latifolia</t>
  </si>
  <si>
    <t>Veronica Beccabunga</t>
  </si>
  <si>
    <t>wonderful funnel-shaped white spathe-like flowers</t>
  </si>
  <si>
    <t>Total 5L Marginals (x1)</t>
  </si>
  <si>
    <t>10L Marginals @ £9.50- BIG</t>
  </si>
  <si>
    <t>Barcode: 5021353014884</t>
  </si>
  <si>
    <t>10L Marginals</t>
  </si>
  <si>
    <t>Caltha Palustris</t>
  </si>
  <si>
    <t>Iris Ensata Variegata</t>
  </si>
  <si>
    <t>Variegated Japanese flag</t>
  </si>
  <si>
    <t>gorgeous purple flowers over white and green striped foliage</t>
  </si>
  <si>
    <t>Typha Minima</t>
  </si>
  <si>
    <t>Total 10L Marginals (x1)</t>
  </si>
  <si>
    <r>
      <t>8L Planted Contour</t>
    </r>
    <r>
      <rPr>
        <b/>
        <sz val="14"/>
        <color rgb="FF000000"/>
        <rFont val="Calibri"/>
        <family val="2"/>
      </rPr>
      <t xml:space="preserve"> @ £8.38</t>
    </r>
  </si>
  <si>
    <t>8 per shelf</t>
  </si>
  <si>
    <t>8L Standard Planted Contour</t>
  </si>
  <si>
    <t>large finished product planted with at least 3 x different marginal varieties</t>
  </si>
  <si>
    <t>Larger Marginals</t>
  </si>
  <si>
    <t>8L Oxygenator Planted Contour</t>
  </si>
  <si>
    <t>a finished product with at least 4x different oxygenating marginals</t>
  </si>
  <si>
    <t>8L Scented Planted Contour</t>
  </si>
  <si>
    <t>a finished product with at least 4x different scented marginals</t>
  </si>
  <si>
    <t>8L Native Planted Contour</t>
  </si>
  <si>
    <t>a finished product with at least 4x different British marginals</t>
  </si>
  <si>
    <t>Hippuris Contour</t>
  </si>
  <si>
    <t>Houttuynia Variegata Contour</t>
  </si>
  <si>
    <t>Hypericum Elodes Contour</t>
  </si>
  <si>
    <t>Lobelia Queen Victoria Contour</t>
  </si>
  <si>
    <t>Myosotis Palustris Contour</t>
  </si>
  <si>
    <t>Nasturtium Aquaticum Contour</t>
  </si>
  <si>
    <t>Veronica Contour</t>
  </si>
  <si>
    <t>Total 8L Planted Contours (x1)</t>
  </si>
  <si>
    <t>9cm Ferns @ £1.50</t>
  </si>
  <si>
    <t>72 per shelf</t>
  </si>
  <si>
    <t>Barcode: 5021353015058</t>
  </si>
  <si>
    <t>Pots(x12)</t>
  </si>
  <si>
    <t>x12</t>
  </si>
  <si>
    <t>9cm Ferns Assorted</t>
  </si>
  <si>
    <t>9cm Ferns</t>
  </si>
  <si>
    <t>Harts Tongue Fern</t>
  </si>
  <si>
    <t>eyecatching , un-fernlike,versatile and native</t>
  </si>
  <si>
    <t>Athyrium felix femina</t>
  </si>
  <si>
    <t>Lady Fern</t>
  </si>
  <si>
    <t>graceful, bright green, filigree-like foliage</t>
  </si>
  <si>
    <t>Painted Fern</t>
  </si>
  <si>
    <t>Hard Fern</t>
  </si>
  <si>
    <t>curious sword fern-like foliage, hardy and native</t>
  </si>
  <si>
    <t>Scaly Male Fern</t>
  </si>
  <si>
    <t>Autumn Fern</t>
  </si>
  <si>
    <t>Dryopteris felix mas</t>
  </si>
  <si>
    <t>Male Fern</t>
  </si>
  <si>
    <t>Ostrich fern</t>
  </si>
  <si>
    <t>large specimen, pale green, lacy fronds</t>
  </si>
  <si>
    <t>Soft Shield Fern</t>
  </si>
  <si>
    <t>large evergreen fronds, native to the UK</t>
  </si>
  <si>
    <t>Polystichum setiferum Herrenhausen</t>
  </si>
  <si>
    <t xml:space="preserve"> rosette of exquisite lacy fronds</t>
  </si>
  <si>
    <t>Polystichum polyblepharum</t>
  </si>
  <si>
    <t>Tassel Fern</t>
  </si>
  <si>
    <t>hardy evergreen Asian fern</t>
  </si>
  <si>
    <t>Total 9cm Ferns (x12)</t>
  </si>
  <si>
    <t>THESE ARE NOT INCLUDED IN THE LOYALTY SCHEME</t>
  </si>
  <si>
    <t>Molluscs</t>
  </si>
  <si>
    <t>x8</t>
  </si>
  <si>
    <t>3x Snails &amp; 1x Oxy Plant</t>
  </si>
  <si>
    <t>Floating Plants - Tub</t>
  </si>
  <si>
    <t>Floating Plants</t>
  </si>
  <si>
    <t>Large Blue Pot- Pistia stratiotes</t>
  </si>
  <si>
    <t>water lettuce</t>
  </si>
  <si>
    <t>frogbit</t>
  </si>
  <si>
    <t>Blue Pot @ £1.57 - Tray of 8</t>
  </si>
  <si>
    <t>water butterfly wings</t>
  </si>
  <si>
    <t>Blue Pot Stratiotes Aloides</t>
  </si>
  <si>
    <t>water soldiers</t>
  </si>
  <si>
    <t>Blue Pot Trapa bispinosa</t>
  </si>
  <si>
    <t>water chestnut</t>
  </si>
  <si>
    <t>Oxygenators</t>
  </si>
  <si>
    <t>Blue Pots Callitriche</t>
  </si>
  <si>
    <t>water starwort</t>
  </si>
  <si>
    <t>Blue Pot Ceratophyllum demersum</t>
  </si>
  <si>
    <t>hornwort</t>
  </si>
  <si>
    <t>Blue Pot Potamogeton natans</t>
  </si>
  <si>
    <t>broad-leaved pondweed</t>
  </si>
  <si>
    <t>Blue Pot Fontinalis</t>
  </si>
  <si>
    <t>water moss</t>
  </si>
  <si>
    <t>Blue Pots Hottonia palustris</t>
  </si>
  <si>
    <t>fringed waterlily</t>
  </si>
  <si>
    <t>x25</t>
  </si>
  <si>
    <t>Loose Hydrocharis morsus ranae</t>
  </si>
  <si>
    <t>frog-bit</t>
  </si>
  <si>
    <t>Floating Plants - Loose</t>
  </si>
  <si>
    <t>Loose Pistia Stratiotes</t>
  </si>
  <si>
    <t>Loose @ £1.04 - Pack of 25</t>
  </si>
  <si>
    <t>Loose Salvinia Natans</t>
  </si>
  <si>
    <t>Loose Stratiotes Aloides</t>
  </si>
  <si>
    <t>Loose Stratiotes 'Rubrifolia'</t>
  </si>
  <si>
    <t>red water soldiers</t>
  </si>
  <si>
    <t>Loose Trapa Natans</t>
  </si>
  <si>
    <t>Total Floating Plants  (x1)</t>
  </si>
  <si>
    <r>
      <t>Carrypack</t>
    </r>
    <r>
      <rPr>
        <b/>
        <sz val="14"/>
        <color rgb="FF000000"/>
        <rFont val="Calibri"/>
        <family val="2"/>
      </rPr>
      <t>- Waterlilies, Deep Water &amp; Oxygenators</t>
    </r>
  </si>
  <si>
    <t>32 per shelf</t>
  </si>
  <si>
    <t>Pots(x4)</t>
  </si>
  <si>
    <t>PRICE</t>
  </si>
  <si>
    <t>DESCRIPTION</t>
  </si>
  <si>
    <t>x4</t>
  </si>
  <si>
    <t>1L Assorted Oxy Carrypack</t>
  </si>
  <si>
    <t>1L Carrypack</t>
  </si>
  <si>
    <t>1L Oxy Hippuris vulgaris Carrypack</t>
  </si>
  <si>
    <t>1L Oxy Hottonia Palustris</t>
  </si>
  <si>
    <t>1L Oxy Scirpus Cernuus Carrypack</t>
  </si>
  <si>
    <t>1L Assorted Deep Water Carrypack</t>
  </si>
  <si>
    <t>rooted in a recyclable plastic container</t>
  </si>
  <si>
    <t>1L DW Aponogeton Carrypack</t>
  </si>
  <si>
    <t>a wonderful sweetly scented deep marginal</t>
  </si>
  <si>
    <t>1L DW Nuphar luteum Carrypack</t>
  </si>
  <si>
    <t>this native plant is often referred to as 'poor mans lily'</t>
  </si>
  <si>
    <t>1L DW Orontium aquaticum Carrypack</t>
  </si>
  <si>
    <t>yellow/white pokers over lush velvety leaves</t>
  </si>
  <si>
    <t>1L Assorted Waterlily Carrypack</t>
  </si>
  <si>
    <t>rooted hardy waterlily in a recyclable plastic container</t>
  </si>
  <si>
    <t>1L Pink Waterlily Carrypack</t>
  </si>
  <si>
    <t>rooted hardy pink in a recyclable plastic container</t>
  </si>
  <si>
    <t>1L Red Waterlily Carrypack</t>
  </si>
  <si>
    <t>Rooted hardy red in a recyclable plastic container</t>
  </si>
  <si>
    <t>1L White Waterlily Carrypack</t>
  </si>
  <si>
    <t>rooted hardy white in a recyclable plastic container</t>
  </si>
  <si>
    <t>1L Yellow Waterlily Carrypack</t>
  </si>
  <si>
    <t>rooted hardy yellow in a recyclable plastic container</t>
  </si>
  <si>
    <t>1L Assorted Small Carrypack</t>
  </si>
  <si>
    <t>rooted waterlily in a recyclable plastic container</t>
  </si>
  <si>
    <t>1L Small White Carrypack</t>
  </si>
  <si>
    <t>this white flowering collection is very much suited to water features and small ponds</t>
  </si>
  <si>
    <t>1L Small Red Carrypack</t>
  </si>
  <si>
    <t>offering many shades of red flowers above small lily pads</t>
  </si>
  <si>
    <t>1L Small Pink Carrypack</t>
  </si>
  <si>
    <t>a collection of small waterlilies at home in smaller ponds, offering pink blooms</t>
  </si>
  <si>
    <t>1L Small Yellow Carrypack</t>
  </si>
  <si>
    <t>wonderful small yellow blooms above small pads, yellow flowering</t>
  </si>
  <si>
    <t>Total 1L Carrypacks (x4)</t>
  </si>
  <si>
    <t>1L Waterlilies @ £6.07</t>
  </si>
  <si>
    <t>Pots(x5)</t>
  </si>
  <si>
    <t>x5</t>
  </si>
  <si>
    <t xml:space="preserve">Assorted Waterlilies </t>
  </si>
  <si>
    <t>See Below</t>
  </si>
  <si>
    <t>our best selection of small and medium sized lilies</t>
  </si>
  <si>
    <t>1L Waterlilies</t>
  </si>
  <si>
    <t>White Waterlily</t>
  </si>
  <si>
    <t>Pink Waterlily</t>
  </si>
  <si>
    <t>Red Waterlily</t>
  </si>
  <si>
    <t>Yellow Waterlily</t>
  </si>
  <si>
    <t>Copper Waterlily</t>
  </si>
  <si>
    <t>Tropical Waterlily</t>
  </si>
  <si>
    <t>Total 1L Waterlilies (x5)</t>
  </si>
  <si>
    <t>If you would like these as Pygmaea tick here :</t>
  </si>
  <si>
    <t xml:space="preserve">Assorted Small Waterlilies </t>
  </si>
  <si>
    <t>Our best selection</t>
  </si>
  <si>
    <t>Small White Waterlily</t>
  </si>
  <si>
    <t>Small Red Waterlily</t>
  </si>
  <si>
    <t>Small Pink Waterlily</t>
  </si>
  <si>
    <t>Pygmaea Alba</t>
  </si>
  <si>
    <t>Pygmaea Rubra</t>
  </si>
  <si>
    <t>We will select with flowers</t>
  </si>
  <si>
    <t>2L Waterlilies</t>
  </si>
  <si>
    <t>Blue Waterlily</t>
  </si>
  <si>
    <t>Total 2L Waterlilies (x3)</t>
  </si>
  <si>
    <t>Barcode: 5021353014709</t>
  </si>
  <si>
    <t>Assorted Named Waterlilies</t>
  </si>
  <si>
    <t>2L Named Waterlilies</t>
  </si>
  <si>
    <t>N. Alba</t>
  </si>
  <si>
    <t>our only native waterlily, white petals and golden yellow stamens</t>
  </si>
  <si>
    <t>N. Albatross</t>
  </si>
  <si>
    <t>wonderful large, star shaped flowers with long pure white petals/golden anthers</t>
  </si>
  <si>
    <t>N. Attraction</t>
  </si>
  <si>
    <t>attractive red flowers have broad petals and orange stamens</t>
  </si>
  <si>
    <t>N. Barbara Dobbins</t>
  </si>
  <si>
    <t>N. Charles de Meurville</t>
  </si>
  <si>
    <t>free flowering, large red blooms with outer petals flecked with white</t>
  </si>
  <si>
    <t>N. Charlene Strawn</t>
  </si>
  <si>
    <t>Rich yellow blooms fading to lighter yellow outer petals.</t>
  </si>
  <si>
    <t>N. Chromatella</t>
  </si>
  <si>
    <t>N. Collosea</t>
  </si>
  <si>
    <t>N. Colonel A J Welch</t>
  </si>
  <si>
    <t>beautiful canary-yellow blooms, lightly maroon marbled foliage</t>
  </si>
  <si>
    <t>N. Colorado</t>
  </si>
  <si>
    <t>N. Conqueror</t>
  </si>
  <si>
    <t>deep red blooms with incurving petals and bright yellow stamens</t>
  </si>
  <si>
    <t>N. Denver</t>
  </si>
  <si>
    <t>N. Fire Crest</t>
  </si>
  <si>
    <t>N. Frobelii</t>
  </si>
  <si>
    <t>N. Gladstonianna</t>
  </si>
  <si>
    <t>vigorous, large growing waterlily, large-cup shaped white flowers</t>
  </si>
  <si>
    <t>N. Gloriosa</t>
  </si>
  <si>
    <t>N. Gonnere</t>
  </si>
  <si>
    <t>N. Hollandia</t>
  </si>
  <si>
    <t>large double pale pink flowers, inner petals deeper coloured than outer ones</t>
  </si>
  <si>
    <t>N. Inner Light</t>
  </si>
  <si>
    <t>originating from the USA, wonderful yellow double-petalled blooms</t>
  </si>
  <si>
    <t>N. James Brydon</t>
  </si>
  <si>
    <t>very free-flowering, very adaptable and easy to grow</t>
  </si>
  <si>
    <t>N. Joey Tomocik</t>
  </si>
  <si>
    <t>relatively new hybrid, double yellow blossoms and free flowering</t>
  </si>
  <si>
    <t>N. Lemon Mist</t>
  </si>
  <si>
    <t>this beautiful variety has large, cup-shaped double flowers in rose pink</t>
  </si>
  <si>
    <t>N. Mangkala Ubol</t>
  </si>
  <si>
    <t>peachy yellow with brownish green pads that are flecked</t>
  </si>
  <si>
    <t>N. Marliacea Albida</t>
  </si>
  <si>
    <t xml:space="preserve">snow white flowers twith beautifully fragranted flowers </t>
  </si>
  <si>
    <t>N. Marliacea Carnea</t>
  </si>
  <si>
    <t>very pale pink flowers, leaves tinged purple</t>
  </si>
  <si>
    <t>N. Marliacea Chromatella</t>
  </si>
  <si>
    <t>yellow petals with green leaves heavily mottles with purple</t>
  </si>
  <si>
    <t>N. Marliacea Rosea</t>
  </si>
  <si>
    <t>pale pink blooms and glossy mid-green foliage</t>
  </si>
  <si>
    <t>N. Masaniello</t>
  </si>
  <si>
    <t>tidy cup shaped pink/red blooms</t>
  </si>
  <si>
    <t>N. Mayla</t>
  </si>
  <si>
    <t>N. Moorei</t>
  </si>
  <si>
    <t>rich yellow flowers with golden stamens, leaves are green with maroon blotches</t>
  </si>
  <si>
    <t>N. Mrs Richmond</t>
  </si>
  <si>
    <t>deep pink flowers with prolific foliage</t>
  </si>
  <si>
    <t>N. Odorata Alba</t>
  </si>
  <si>
    <t>N. Odorata Sulphurea</t>
  </si>
  <si>
    <t>N. Purple Joy - Tropical</t>
  </si>
  <si>
    <t>beautifully bicoloured, purple  and white petals with a yellow centre</t>
  </si>
  <si>
    <t>N. Rene Gerard</t>
  </si>
  <si>
    <t>pretty, rich red blooms with bright green leaves</t>
  </si>
  <si>
    <t>N. Rose Arey</t>
  </si>
  <si>
    <t>N. Rose Nymphe</t>
  </si>
  <si>
    <t>flowers are a pale waxy-pink with long outer petals, leaves are deep green</t>
  </si>
  <si>
    <t>N. Sioux</t>
  </si>
  <si>
    <t>N. Sunrise</t>
  </si>
  <si>
    <t>Extra large stellate shaped yellow blooms</t>
  </si>
  <si>
    <t>N. Viginalis</t>
  </si>
  <si>
    <t>N. Wanvisa</t>
  </si>
  <si>
    <t>strong orange-pink with stable yellowish speckles on the petals.</t>
  </si>
  <si>
    <t>Tropical Blue</t>
  </si>
  <si>
    <t>N. Yellow Bangpra</t>
  </si>
  <si>
    <t>Stunning yellow stamens with purple mottled leaves</t>
  </si>
  <si>
    <t>N. Almost Black</t>
  </si>
  <si>
    <t>very free flowering, dark blood-red blooms, one of the darkest reds</t>
  </si>
  <si>
    <t>Total 2L Named Waterlilies (x3)</t>
  </si>
  <si>
    <t>12 per shelf</t>
  </si>
  <si>
    <t>Barcode: 5021353007565</t>
  </si>
  <si>
    <t>Colour</t>
  </si>
  <si>
    <t>Our best selection with flowers</t>
  </si>
  <si>
    <t>5L Waterlilies</t>
  </si>
  <si>
    <t>free flowering, lovely yellow flowers over heavily mottled leaves</t>
  </si>
  <si>
    <t>modern hybrid, blooms are a salmon pink, that sit 3 to 4 inches above the water</t>
  </si>
  <si>
    <t>beautiful vivid red- wine cupped- shaped flowers throughout the summer</t>
  </si>
  <si>
    <t>gorgeous cup shaped, snow white flowers that are very fragrant</t>
  </si>
  <si>
    <t>fairly vigorous variety, with very pale pink flowers, leaves tinged purple</t>
  </si>
  <si>
    <t>beautiful stellate flowers are a rich pink with golden stamens, deep green leaves</t>
  </si>
  <si>
    <t>Total 5L Waterlilies (x1)</t>
  </si>
  <si>
    <t>3L Double Planted Waterlily (White, Red)</t>
  </si>
  <si>
    <t>offering the best of 2 worlds, white &amp; red blooms</t>
  </si>
  <si>
    <t>3L Double/Triple Waterlily</t>
  </si>
  <si>
    <t>3L Double Planted Waterlily (Yellow, Pink)</t>
  </si>
  <si>
    <t>offering the best of 2 worlds, yellow &amp; pink blooms</t>
  </si>
  <si>
    <t>3L Triple Planted Waterlily</t>
  </si>
  <si>
    <t>our premium lily giving red, yellow &amp; white blooms</t>
  </si>
  <si>
    <r>
      <t xml:space="preserve">Loose Jumbo Floating Plants @ </t>
    </r>
    <r>
      <rPr>
        <b/>
        <sz val="16"/>
        <color rgb="FFFF0000"/>
        <rFont val="Calibri"/>
        <family val="2"/>
      </rPr>
      <t>£1.00 SPECIAL OFFER</t>
    </r>
  </si>
  <si>
    <t>Loose Jumbo Pistia Stratiotes</t>
  </si>
  <si>
    <t>Loose @ £1.00 - Pack of 10</t>
  </si>
  <si>
    <t>10L  Waterlilies @ £10.99</t>
  </si>
  <si>
    <t>established lily selected with buds/ flowers</t>
  </si>
  <si>
    <t>10L Waterlilies</t>
  </si>
  <si>
    <t>established lily selected with buds/ flowers in white</t>
  </si>
  <si>
    <t>established lily selected with buds/ flowerst in pink</t>
  </si>
  <si>
    <t>established lily selected with buds/ flowers in red</t>
  </si>
  <si>
    <t>established lily selected with buds/ flowers in yellow</t>
  </si>
  <si>
    <t>Total 10L Waterlilies (x1)</t>
  </si>
  <si>
    <t>offering an established lily selected with buds/ flowers</t>
  </si>
  <si>
    <t>28L Waterlilies</t>
  </si>
  <si>
    <t>Total 28L Waterlilies (Pots)</t>
  </si>
  <si>
    <t>1L Deep Water @ £4.58</t>
  </si>
  <si>
    <t>Barcode: 872815038209</t>
  </si>
  <si>
    <t>Assorted Deep Water Plants</t>
  </si>
  <si>
    <t>1L Deep Water Plants</t>
  </si>
  <si>
    <t>Aponogeton Distachyum</t>
  </si>
  <si>
    <t>water hawthorne</t>
  </si>
  <si>
    <t>Nuphar Advenum</t>
  </si>
  <si>
    <t>spatterdock</t>
  </si>
  <si>
    <t>Nuphar luteum</t>
  </si>
  <si>
    <t>brandy bottle</t>
  </si>
  <si>
    <t>this native deep water plant is often referred to as 'poor mans lily'</t>
  </si>
  <si>
    <t>Nymphoides Peltata</t>
  </si>
  <si>
    <t>floating heart</t>
  </si>
  <si>
    <t>origination from East Asia and the Mediterranean</t>
  </si>
  <si>
    <t>Orontium aquaticum</t>
  </si>
  <si>
    <t>golden club</t>
  </si>
  <si>
    <t>offering striking yellow/white pokers over lush velvety leaves</t>
  </si>
  <si>
    <t>Vallisneria gigantea</t>
  </si>
  <si>
    <t>giant ribbon grass</t>
  </si>
  <si>
    <t>Total 1L Deep Water (x1)</t>
  </si>
  <si>
    <t>2L Deep Water @ £5.73</t>
  </si>
  <si>
    <t>Barcode: 5021353014686</t>
  </si>
  <si>
    <t>2L Deep Water Plants</t>
  </si>
  <si>
    <t>Total 2L Deep Water (x1)</t>
  </si>
  <si>
    <t>Snails Assorted</t>
  </si>
  <si>
    <t>A selection of available snails</t>
  </si>
  <si>
    <t>Ramshorn Snails</t>
  </si>
  <si>
    <t>will eat dead algae, dead foliage and uneaten fish food</t>
  </si>
  <si>
    <t>Stagnalis Snails</t>
  </si>
  <si>
    <t>Swan Mussels</t>
  </si>
  <si>
    <t>offering a popular bivalve swam mussel</t>
  </si>
  <si>
    <t>Painters Mussel</t>
  </si>
  <si>
    <t>offering the native medium sized painter's mussel</t>
  </si>
  <si>
    <t>Jumbo Swan Mussels</t>
  </si>
  <si>
    <t>offering a larger grade of the native swan mussel</t>
  </si>
  <si>
    <t>Total Molluscs (x1)</t>
  </si>
  <si>
    <t>Packs</t>
  </si>
  <si>
    <t>If you would like them barcoded please mark here:</t>
  </si>
  <si>
    <t>Mini Square 1L 11x11cm</t>
  </si>
  <si>
    <t>Small Square 2L 19x19cm</t>
  </si>
  <si>
    <t>Midi Square 3L 20x20x20cm</t>
  </si>
  <si>
    <t>45p standard / 48p barcoded</t>
  </si>
  <si>
    <t>Medium Square 5L 23x23cm</t>
  </si>
  <si>
    <t>Large Square 10L 28x28cm</t>
  </si>
  <si>
    <t>XL Square 28L 35x35cm</t>
  </si>
  <si>
    <t>Medium Round 2L 17cm</t>
  </si>
  <si>
    <t>Large Round 3L 23cm</t>
  </si>
  <si>
    <t xml:space="preserve">Jumbo Round 24L </t>
  </si>
  <si>
    <t>Contour 8L</t>
  </si>
  <si>
    <t>84p standard / 87p barcoded</t>
  </si>
  <si>
    <t>Other Dry Goods</t>
  </si>
  <si>
    <t>Outers</t>
  </si>
  <si>
    <t>Bag Dispenser with 250 bags -Hang on</t>
  </si>
  <si>
    <t xml:space="preserve"> with 250 bags - Hang on</t>
  </si>
  <si>
    <t>Bag Dispenser with 250 bags -Screw on</t>
  </si>
  <si>
    <t>with 250 bags - Screw on</t>
  </si>
  <si>
    <t>Replacement bags for dispenser x250</t>
  </si>
  <si>
    <t>for dispenser x250</t>
  </si>
  <si>
    <t>Black handle</t>
  </si>
  <si>
    <t>for plant label when submerging waterlilies</t>
  </si>
  <si>
    <t>x250</t>
  </si>
  <si>
    <t>Poly Bags</t>
  </si>
  <si>
    <t>10x20" 150g</t>
  </si>
  <si>
    <t>18x24" 150g</t>
  </si>
  <si>
    <t>144x 10L Aquatic Compost - Pallet</t>
  </si>
  <si>
    <t>84 x 20L Aquatic Compost - Pallet</t>
  </si>
  <si>
    <t>Point of Sale</t>
  </si>
  <si>
    <t xml:space="preserve">Adorable Aquatics POS Strip </t>
  </si>
  <si>
    <t>Beautiful Waterlilies POS Strip</t>
  </si>
  <si>
    <t xml:space="preserve">Filter Feeding Poster </t>
  </si>
  <si>
    <t>Marginal Poster</t>
  </si>
  <si>
    <t>Oxygenator POS Strip</t>
  </si>
  <si>
    <t>Oxygenator Poster</t>
  </si>
  <si>
    <t xml:space="preserve">Set of 5 posters </t>
  </si>
  <si>
    <t>Waterlily Poster</t>
  </si>
  <si>
    <t>Wildlife POS Strip</t>
  </si>
  <si>
    <r>
      <t>Trolley Deals</t>
    </r>
    <r>
      <rPr>
        <sz val="12"/>
        <color rgb="FF000000"/>
        <rFont val="Calibri"/>
        <family val="2"/>
      </rPr>
      <t xml:space="preserve"> -</t>
    </r>
    <r>
      <rPr>
        <b/>
        <sz val="16"/>
        <color rgb="FF000000"/>
        <rFont val="Calibri"/>
        <family val="2"/>
      </rPr>
      <t xml:space="preserve"> </t>
    </r>
    <r>
      <rPr>
        <sz val="12"/>
        <color rgb="FF000000"/>
        <rFont val="Calibri"/>
        <family val="2"/>
      </rPr>
      <t>For Easy Ordering</t>
    </r>
  </si>
  <si>
    <t>10% - 15% Discount</t>
  </si>
  <si>
    <t>Discount Price</t>
  </si>
  <si>
    <t>(Prices shown include discount)</t>
  </si>
  <si>
    <t>Early Season Trolley Deal</t>
  </si>
  <si>
    <t>150x 1L Marginal/Oxy, 24x 2L Marg, 16x 1L Waterlilies, 8x 1L Deep water &amp; 4x 8L Contour</t>
  </si>
  <si>
    <t>Trolley Deals</t>
  </si>
  <si>
    <t>Basic Trolley Deal</t>
  </si>
  <si>
    <t>150x 1L Marginal, 50x 1L Oxygenator &amp; 24x 2L Waterlilies</t>
  </si>
  <si>
    <t>Complete Trolley Deal</t>
  </si>
  <si>
    <t>100x 1L Marginal, 40x 1L Oxygenator, 18x 2L Marg, 24x 2L Waterlilies, 5x 8L Contour</t>
  </si>
  <si>
    <t xml:space="preserve">Double 1 Trolley Deal </t>
  </si>
  <si>
    <t>200x 1L Marginal, 100x 1L Oxygenators, 24x 2L Marginal, 24x 2L Waterlilies &amp; 8x 8L Contour</t>
  </si>
  <si>
    <t>Double 2 Trolley Deal</t>
  </si>
  <si>
    <t>200x 1L Marginal, 50x 1L Oxygenators, 72x 2L Marginal &amp; 24x 2L Waterlilies</t>
  </si>
  <si>
    <t>Beaver Plants Order</t>
  </si>
  <si>
    <t>Category</t>
  </si>
  <si>
    <t>Product</t>
  </si>
  <si>
    <t>Quantity</t>
  </si>
  <si>
    <t>Product Name</t>
  </si>
  <si>
    <t>1L A</t>
  </si>
  <si>
    <t>1L N</t>
  </si>
  <si>
    <t>1L S</t>
  </si>
  <si>
    <t>1L s</t>
  </si>
  <si>
    <t>1L F</t>
  </si>
  <si>
    <t>1L H</t>
  </si>
  <si>
    <t>1L R</t>
  </si>
  <si>
    <t>2L A</t>
  </si>
  <si>
    <t>2L N</t>
  </si>
  <si>
    <t>2L S</t>
  </si>
  <si>
    <t>2L s</t>
  </si>
  <si>
    <t>2L F</t>
  </si>
  <si>
    <t>2L H</t>
  </si>
  <si>
    <t>2L R</t>
  </si>
  <si>
    <t>5L A</t>
  </si>
  <si>
    <t>5L N</t>
  </si>
  <si>
    <t>5L S</t>
  </si>
  <si>
    <t>5L s</t>
  </si>
  <si>
    <t>5L F</t>
  </si>
  <si>
    <t>5L H</t>
  </si>
  <si>
    <t>5L R</t>
  </si>
  <si>
    <t>10L A</t>
  </si>
  <si>
    <t>10L N</t>
  </si>
  <si>
    <t>10L S</t>
  </si>
  <si>
    <t>10L s</t>
  </si>
  <si>
    <t>10L F</t>
  </si>
  <si>
    <t>10L H</t>
  </si>
  <si>
    <t>10L R</t>
  </si>
  <si>
    <t>H 1L</t>
  </si>
  <si>
    <t>H 2L</t>
  </si>
  <si>
    <t>H 5L</t>
  </si>
  <si>
    <t>H 10L</t>
  </si>
  <si>
    <t>No.</t>
  </si>
  <si>
    <t>Size</t>
  </si>
  <si>
    <t>M</t>
  </si>
  <si>
    <t>Marginal</t>
  </si>
  <si>
    <t>stock_1l_x10</t>
  </si>
  <si>
    <t>m</t>
  </si>
  <si>
    <t>L</t>
  </si>
  <si>
    <t>S</t>
  </si>
  <si>
    <t>l</t>
  </si>
  <si>
    <t>s</t>
  </si>
  <si>
    <t>stock_1l_x11</t>
  </si>
  <si>
    <t>Iris sibirica Blue</t>
  </si>
  <si>
    <r>
      <t>Zantedeschia alpina-</t>
    </r>
    <r>
      <rPr>
        <b/>
        <sz val="10"/>
        <color rgb="FF000000"/>
        <rFont val="Calibri"/>
        <family val="2"/>
      </rPr>
      <t>NEW</t>
    </r>
  </si>
  <si>
    <r>
      <t>Zantedeschia himalaya</t>
    </r>
    <r>
      <rPr>
        <b/>
        <sz val="10"/>
        <color rgb="FF000000"/>
        <rFont val="Calibri"/>
        <family val="2"/>
      </rPr>
      <t>-NEW</t>
    </r>
  </si>
  <si>
    <t>Assorted 2L Floating Island</t>
  </si>
  <si>
    <t>2L Floating Island</t>
  </si>
  <si>
    <t>stock_2l_x4</t>
  </si>
  <si>
    <t>Mixed varieties with 3 plants</t>
  </si>
  <si>
    <t>Cotula Coronopifolia</t>
  </si>
  <si>
    <t xml:space="preserve">Lobelia Queen Victoria </t>
  </si>
  <si>
    <t>Lysimachia nummularia Aurea</t>
  </si>
  <si>
    <t>Myosotis palustris alba</t>
  </si>
  <si>
    <t>Myriophyllum Brasiliensis</t>
  </si>
  <si>
    <t>FREE FLOATING ISLAND</t>
  </si>
  <si>
    <t>stock_3l_x1</t>
  </si>
  <si>
    <t>8L Contour</t>
  </si>
  <si>
    <t>stock_8l_x1</t>
  </si>
  <si>
    <t>5L Gunnera manicata</t>
  </si>
  <si>
    <t>Gunnera</t>
  </si>
  <si>
    <t>stock_5l_x1</t>
  </si>
  <si>
    <t>7.5L Gunnera manicata</t>
  </si>
  <si>
    <t>10L Gunnera manicata</t>
  </si>
  <si>
    <t>stock_10l_x1</t>
  </si>
  <si>
    <t>15L Gunnera manicata</t>
  </si>
  <si>
    <t>20L Gunnera manicata</t>
  </si>
  <si>
    <t>60L Gunnera manicata</t>
  </si>
  <si>
    <t>stock_bunched_x50</t>
  </si>
  <si>
    <t>Netted Oxys</t>
  </si>
  <si>
    <t>stock_netted_x50</t>
  </si>
  <si>
    <t>Deep Water</t>
  </si>
  <si>
    <t>stock_1l_x1</t>
  </si>
  <si>
    <t>Waterlilies By Colour</t>
  </si>
  <si>
    <t>stock_1l_x5</t>
  </si>
  <si>
    <t>Waterlilies Small</t>
  </si>
  <si>
    <t>stock_1l_x3</t>
  </si>
  <si>
    <t>1L Carry Pack</t>
  </si>
  <si>
    <t>stock_1l_x4</t>
  </si>
  <si>
    <t>2L Waterlilies By Colour in Display Bags</t>
  </si>
  <si>
    <t>stock_2l_x3</t>
  </si>
  <si>
    <t>Waterlilies Named</t>
  </si>
  <si>
    <t>stock_pack_x25</t>
  </si>
  <si>
    <t>stock_pack_x10</t>
  </si>
  <si>
    <t>stock_blue_pot_x8</t>
  </si>
  <si>
    <t>Blue Pot Range</t>
  </si>
  <si>
    <t>Large Blue Pot</t>
  </si>
  <si>
    <t>Blue Bucket Pistia</t>
  </si>
  <si>
    <t>Blue Bucket Pistia FREE</t>
  </si>
  <si>
    <t>stock_pack_x50</t>
  </si>
  <si>
    <t>Basket Merchandiser</t>
  </si>
  <si>
    <t>Baskets</t>
  </si>
  <si>
    <t>stock_tubbed_x10</t>
  </si>
  <si>
    <t>Dry Goods</t>
  </si>
  <si>
    <t>stock_loose_x1</t>
  </si>
  <si>
    <t>Hessian Squares (Pack of 100)</t>
  </si>
  <si>
    <t>Hessian Squares (Pack of 500)</t>
  </si>
  <si>
    <t>Soil</t>
  </si>
  <si>
    <t>Adorable Aquatics Picture Board</t>
  </si>
  <si>
    <t>POS</t>
  </si>
  <si>
    <t xml:space="preserve">Beautiful Waterlilies Picture Board </t>
  </si>
  <si>
    <t>Oxygenator Picture Board</t>
  </si>
  <si>
    <t>Set of 5 Picture Boards</t>
  </si>
  <si>
    <t>Waterlily Collection Picture Board</t>
  </si>
  <si>
    <t xml:space="preserve">Wildlife Poster </t>
  </si>
  <si>
    <t>Trolley Deal</t>
  </si>
  <si>
    <t>July Trolley Deal</t>
  </si>
  <si>
    <t>Ranunculus Hederaceus</t>
  </si>
  <si>
    <t>ivy leaf crowfoot</t>
  </si>
  <si>
    <t>(Shelves x1)</t>
  </si>
  <si>
    <t>Loose Pistia Rosette</t>
  </si>
  <si>
    <t>Rosette water lettuce</t>
  </si>
  <si>
    <t>Barcode: 5021353014990</t>
  </si>
  <si>
    <t>2L plant complete with floating island</t>
  </si>
  <si>
    <t>Loose @ £1.14 - Pack of 25</t>
  </si>
  <si>
    <t>Loose @ £0.75 - Pack of 25</t>
  </si>
  <si>
    <t>Shelf Deal</t>
  </si>
  <si>
    <t>2L with Floating Island</t>
  </si>
  <si>
    <t>Blue Pot @ £1.65 - Tray of 8</t>
  </si>
  <si>
    <r>
      <t>Loose @</t>
    </r>
    <r>
      <rPr>
        <b/>
        <u/>
        <sz val="7"/>
        <color rgb="FF000000"/>
        <rFont val="Calibri"/>
        <family val="2"/>
      </rPr>
      <t xml:space="preserve"> </t>
    </r>
    <r>
      <rPr>
        <sz val="8"/>
        <color rgb="FF000000"/>
        <rFont val="Calibri"/>
        <family val="2"/>
      </rPr>
      <t xml:space="preserve">£1.14 </t>
    </r>
    <r>
      <rPr>
        <sz val="7"/>
        <color rgb="FF000000"/>
        <rFont val="Calibri"/>
        <family val="2"/>
      </rPr>
      <t>- Pack of 25</t>
    </r>
  </si>
  <si>
    <t>Trays(x5)</t>
  </si>
  <si>
    <t>Blue Pot @ £2.99 - Tray of 8</t>
  </si>
  <si>
    <t>Total Shelf Deals</t>
  </si>
  <si>
    <t>Polygonum Amphibium</t>
  </si>
  <si>
    <t>wonderful yellow flowers over mottled foilage</t>
  </si>
  <si>
    <t>large white flowers tinged pink</t>
  </si>
  <si>
    <t>produces wonderful tiny pink flowers</t>
  </si>
  <si>
    <t>pink flowers above the surface</t>
  </si>
  <si>
    <r>
      <rPr>
        <b/>
        <sz val="15"/>
        <color rgb="FF000000"/>
        <rFont val="Calibri"/>
        <family val="2"/>
      </rPr>
      <t>2L Named Waterlilies</t>
    </r>
    <r>
      <rPr>
        <b/>
        <sz val="16"/>
        <color rgb="FF000000"/>
        <rFont val="Calibri"/>
        <family val="2"/>
      </rPr>
      <t xml:space="preserve"> </t>
    </r>
    <r>
      <rPr>
        <b/>
        <sz val="14"/>
        <color rgb="FF000000"/>
        <rFont val="Calibri"/>
        <family val="2"/>
      </rPr>
      <t>@£8.11</t>
    </r>
  </si>
  <si>
    <t>28L Waterlilies @ £33.00</t>
  </si>
  <si>
    <t>Lysimachia Sunburst</t>
  </si>
  <si>
    <t>beautiful striking purple flowers</t>
  </si>
  <si>
    <t>unusal sunshine yellow buds</t>
  </si>
  <si>
    <t>Rotala rotundifolia</t>
  </si>
  <si>
    <t>this is a dwarf waterlily with changebale flowers</t>
  </si>
  <si>
    <t>Dwarf Aurora</t>
  </si>
  <si>
    <t>filter feeding grass</t>
  </si>
  <si>
    <t>toothcup</t>
  </si>
  <si>
    <t>native to South East Asia</t>
  </si>
  <si>
    <t>Lilaeopsis brasilensis</t>
  </si>
  <si>
    <t>Large Pot @ £2.49 each</t>
  </si>
  <si>
    <t>Large Blue Pot- Pistia stratiotes shelf x21</t>
  </si>
  <si>
    <t>micro sword</t>
  </si>
  <si>
    <t>low growing grass like oxy</t>
  </si>
  <si>
    <t>Loose Pistia Stratiotes BOGOF</t>
  </si>
  <si>
    <t>greater reedmace</t>
  </si>
  <si>
    <t>variegated Norfolk reed</t>
  </si>
  <si>
    <t>American water iris</t>
  </si>
  <si>
    <t>Japanese Iris</t>
  </si>
  <si>
    <t>Egyptian paper reed</t>
  </si>
  <si>
    <t>dwarf var rush</t>
  </si>
  <si>
    <t xml:space="preserve"> red lysimachia</t>
  </si>
  <si>
    <t xml:space="preserve"> water bistort</t>
  </si>
  <si>
    <t>water bistort</t>
  </si>
  <si>
    <t>2L Waterlilies @ £7.45</t>
  </si>
  <si>
    <t>23p standard / 26p barcoded</t>
  </si>
  <si>
    <t>38p standard / 41p barcoded</t>
  </si>
  <si>
    <t>£1.81 standard / £1.84 barcoded</t>
  </si>
  <si>
    <t>59p standard / 62p barcoded</t>
  </si>
  <si>
    <t>25p standard / 28p barcoded</t>
  </si>
  <si>
    <t>47p standard / 50p barcoded</t>
  </si>
  <si>
    <t>53p standard / 56p barcoded</t>
  </si>
  <si>
    <t>£2.80 standard / £2.83 barcoded</t>
  </si>
  <si>
    <t>88p standard / 91p barcoded</t>
  </si>
  <si>
    <t>11cm Plastic Trays - Could we ask all of our customers to save our plastic trays (outer tray for 11cm). We have taken the decision to re-use these trays owing to guidelines and more awareness of the harm that plastic is doing to our environment. Our drivers will collect these trays when we deliver on our own transport, if transport is performed by a third party, collection of trays will be organised at the end of the season.</t>
  </si>
  <si>
    <t>Complete Trolley Deal - 100x 1L Marginal, 40x 1L Oxygenator, 18x 2L Marg, 24x 2L Waterlilies, 5x 8L Contour - 10% discount</t>
  </si>
  <si>
    <t>Basic Trolley Deal - 150x 1L Marginal, 50x 1L Oxygenator &amp; 24x 2L Waterlilies - 10% discount</t>
  </si>
  <si>
    <t>Double 1 Trolley Deal - 200x 1L Marginal, 100x 1L Oxygenators, 24x 2L Marginal, 24x 2L Waterlilies &amp; 8x Contour - 15% discount</t>
  </si>
  <si>
    <t>Double 2 Trolley Deal - 200x 1L Marginal, 50x 1L Oxygenators, 72x 2L Marginal &amp; 24x 2L Waterlilies - 15% discount</t>
  </si>
  <si>
    <t>NEW Grip Seal bags - 15 x 20" (380 x 510mm)</t>
  </si>
  <si>
    <t>x1000</t>
  </si>
  <si>
    <t>Early Season Trolley Deal - 200x 1L Marginal/Oxy, 24x 2L Marg, 12x 2L Waterlilies &amp; 4x 8L Contour - 10% discount</t>
  </si>
  <si>
    <t>Oxygenators- Netted@ £1.32 - Limited Availability</t>
  </si>
  <si>
    <t>1L Copper Waterlily Carrypack</t>
  </si>
  <si>
    <t>Blue Pot @ £1.75 - Tray of 8</t>
  </si>
  <si>
    <t>rose-pink, stellate flowers throughout summer</t>
  </si>
  <si>
    <t>White</t>
  </si>
  <si>
    <t>Red</t>
  </si>
  <si>
    <t>Yellow</t>
  </si>
  <si>
    <t>Pink</t>
  </si>
  <si>
    <t>N. Madame W.Gonnere</t>
  </si>
  <si>
    <t>Oval 4L</t>
  </si>
  <si>
    <t>66p standard / 69p barcoded</t>
  </si>
  <si>
    <t>Phalaris arundinacea</t>
  </si>
  <si>
    <t>reed canary grass</t>
  </si>
  <si>
    <t>tall clump forming grass</t>
  </si>
  <si>
    <t xml:space="preserve">Juncus articulatus </t>
  </si>
  <si>
    <t>joint-leaved rush</t>
  </si>
  <si>
    <t>4L Planted Marginal Oval</t>
  </si>
  <si>
    <t>Total 4L Planted Marginal Oval</t>
  </si>
  <si>
    <t>Barcode: 5021353015546</t>
  </si>
  <si>
    <t>NEW 4L Planted Marginal Oval @£4.46  -  17 per shelf</t>
  </si>
  <si>
    <t>offering a finished product complete with marginals</t>
  </si>
  <si>
    <t>The diagram with fill in green as you order plants. Please aim to get your order over 100%</t>
  </si>
  <si>
    <t>10.5cm Round</t>
  </si>
  <si>
    <t>beautiful salmon pink flowers with luscious green leaves</t>
  </si>
  <si>
    <t>Copper</t>
  </si>
  <si>
    <t>8L Standard Planted Contours x8</t>
  </si>
  <si>
    <t>5L Waterlilies @ £9.92</t>
  </si>
  <si>
    <t>Delivery Charge: England &amp; Wales £55 and Scotland £80</t>
  </si>
  <si>
    <t>(Pygmaea Alba)</t>
  </si>
  <si>
    <t>IN STOCK</t>
  </si>
  <si>
    <t>Loose @ £1.25 - Pack of 25 - LIMITED AVAILABILTY</t>
  </si>
  <si>
    <t>60 x 20L Premium Aquatic Compost</t>
  </si>
  <si>
    <t>Gardeners Choice POS Strip</t>
  </si>
  <si>
    <t>Cyperus Haspan</t>
  </si>
  <si>
    <t>Dwarf papyrus</t>
  </si>
  <si>
    <t>miniature papyrus with small mop heads of flowers</t>
  </si>
  <si>
    <r>
      <rPr>
        <b/>
        <sz val="16"/>
        <color rgb="FFFF0000"/>
        <rFont val="Calibri"/>
        <family val="2"/>
      </rPr>
      <t>NEW</t>
    </r>
    <r>
      <rPr>
        <b/>
        <sz val="16"/>
        <color rgb="FF000000"/>
        <rFont val="Calibri"/>
        <family val="2"/>
      </rPr>
      <t xml:space="preserve"> Molluscs - Snails @ £0.69 - </t>
    </r>
    <r>
      <rPr>
        <b/>
        <sz val="16"/>
        <color rgb="FFFF0000"/>
        <rFont val="Calibri"/>
        <family val="2"/>
      </rPr>
      <t>Only with trolley orders</t>
    </r>
  </si>
  <si>
    <t>Achillea Ptarmica</t>
  </si>
  <si>
    <t>sneezewort</t>
  </si>
  <si>
    <t>Only for the Bank Holiday Week</t>
  </si>
  <si>
    <t>Nymphaea Laydekeri Liliacea</t>
  </si>
  <si>
    <r>
      <t xml:space="preserve">small </t>
    </r>
    <r>
      <rPr>
        <b/>
        <sz val="7"/>
        <color rgb="FFFF00FF"/>
        <rFont val="Calibri"/>
        <family val="2"/>
      </rPr>
      <t>pink</t>
    </r>
    <r>
      <rPr>
        <sz val="7"/>
        <rFont val="Calibri"/>
        <family val="2"/>
      </rPr>
      <t xml:space="preserve"> variety, very floriferous ideal for small ponds</t>
    </r>
  </si>
  <si>
    <t>Nymphaea Lemon Mist</t>
  </si>
  <si>
    <r>
      <t xml:space="preserve">showy pale </t>
    </r>
    <r>
      <rPr>
        <b/>
        <sz val="7"/>
        <color rgb="FFFFC000"/>
        <rFont val="Calibri"/>
        <family val="2"/>
      </rPr>
      <t>yellow</t>
    </r>
    <r>
      <rPr>
        <sz val="7"/>
        <rFont val="Calibri"/>
        <family val="2"/>
      </rPr>
      <t xml:space="preserve"> flowers, ideal for smal/medium ponds</t>
    </r>
  </si>
  <si>
    <t>Nymphaea Odorata Alba</t>
  </si>
  <si>
    <r>
      <t xml:space="preserve">sweet scented with pure </t>
    </r>
    <r>
      <rPr>
        <b/>
        <sz val="7"/>
        <rFont val="Calibri"/>
        <family val="2"/>
      </rPr>
      <t>white</t>
    </r>
    <r>
      <rPr>
        <sz val="7"/>
        <rFont val="Calibri"/>
        <family val="2"/>
      </rPr>
      <t xml:space="preserve"> flowers with a striking yellow centre</t>
    </r>
  </si>
  <si>
    <t>Total 1L Waterlilies Named (x5)</t>
  </si>
  <si>
    <t>white flowering perennial adored by insects</t>
  </si>
  <si>
    <t>tolerant of salt water found in costal regions</t>
  </si>
  <si>
    <t>X5</t>
  </si>
  <si>
    <t xml:space="preserve">1L Waterlilies Named @ £6.37 </t>
  </si>
  <si>
    <t>Canna Lemon</t>
  </si>
  <si>
    <t>Canna Mango</t>
  </si>
  <si>
    <t>Canna Orange Bronze</t>
  </si>
  <si>
    <t>Canna Scarlet Bronze</t>
  </si>
  <si>
    <t>scarlet red flowers over large bronze leaves</t>
  </si>
  <si>
    <t>Changeable</t>
  </si>
  <si>
    <t>Carex Riparia</t>
  </si>
  <si>
    <t>greater pond sedge</t>
  </si>
  <si>
    <t xml:space="preserve">tall green leaves and dark seed heads </t>
  </si>
  <si>
    <t>ziesty yellow flowers over green foilage</t>
  </si>
  <si>
    <t>showy scarlet-red blooms with bronze-green foilage</t>
  </si>
  <si>
    <t>wonderful orange/pink flowers with green foilage</t>
  </si>
  <si>
    <t>Sisyrinchium Bellum</t>
  </si>
  <si>
    <t>Blue-eyed grass</t>
  </si>
  <si>
    <t>N. Aurora</t>
  </si>
  <si>
    <t>this beautiful smaller variety has lovely orange/pink blooms</t>
  </si>
  <si>
    <t>N. Xiafei</t>
  </si>
  <si>
    <t>Canna Assorted</t>
  </si>
  <si>
    <t>strong scarlet red blooms with green foilage</t>
  </si>
  <si>
    <t>Total 3L Double Waterlilies (x1)</t>
  </si>
  <si>
    <t>3L Double Waterlily</t>
  </si>
  <si>
    <t>Iris laevigata 'Mottled Beauty'</t>
  </si>
  <si>
    <t>1,5</t>
  </si>
  <si>
    <t>Variable</t>
  </si>
  <si>
    <t>lovely white flowers variably splashed with blue.</t>
  </si>
  <si>
    <t>1,8</t>
  </si>
  <si>
    <t>1,10</t>
  </si>
  <si>
    <t>1,11</t>
  </si>
  <si>
    <t>1,12</t>
  </si>
  <si>
    <t>1,14</t>
  </si>
  <si>
    <t>1,15</t>
  </si>
  <si>
    <t>1,16</t>
  </si>
  <si>
    <t>American water Iris</t>
  </si>
  <si>
    <t>3L Double @ £9.50</t>
  </si>
  <si>
    <t xml:space="preserve">Poly Bags </t>
  </si>
  <si>
    <t>3L Marginal with 2 plants @£4.50  -  17 per shelf</t>
  </si>
  <si>
    <t>2L with Floating Island @ £5.50</t>
  </si>
  <si>
    <t>dainty blue flowers are grown on miniature iris-like leaves.</t>
  </si>
  <si>
    <t>Loose Floating Plants</t>
  </si>
  <si>
    <t>wonderful smalll lily with deep bright red flowers</t>
  </si>
  <si>
    <t>Canna Red</t>
  </si>
  <si>
    <t>Canna Rosea</t>
  </si>
  <si>
    <t>beautiful lemon yellow blooms</t>
  </si>
  <si>
    <t>compact canna with large apricot orange flowers</t>
  </si>
  <si>
    <t>striking bright red flowers with green leaves</t>
  </si>
  <si>
    <t>rose-red flag-like blooms held above large green leaves</t>
  </si>
  <si>
    <t xml:space="preserve">SHELF DEALS - Please order 5 Shelves = One Full Trolley - the easiest way to order. </t>
  </si>
  <si>
    <t>FOC 2L Floating Islands x1</t>
  </si>
  <si>
    <t>Offers of the Week - Strongly recommend</t>
  </si>
  <si>
    <t>2L Floating Islands assorted x4</t>
  </si>
  <si>
    <t>FOC 1L Canna assorted x10</t>
  </si>
  <si>
    <t>2L Canna assorted x3</t>
  </si>
  <si>
    <t>FOC 2L Canna assorted x3</t>
  </si>
  <si>
    <t>our best Canna's in bud/flower, to include the Happy collection</t>
  </si>
  <si>
    <t>a free tray of Pistia when you buy x4 trays</t>
  </si>
  <si>
    <t>our best selection of marginals in a Floating island</t>
  </si>
  <si>
    <t>a free singular 2L marginal with Floating island</t>
  </si>
  <si>
    <t>a free tray (x10) of 1L Canna assorted</t>
  </si>
  <si>
    <t>a free outer (x3) 2L Canna assorted in bud/flower</t>
  </si>
  <si>
    <t>to include a tray (x10) each of; Hydrocharis, Salvina, Pistia &amp; Nymphoides</t>
  </si>
  <si>
    <t>Special Offer</t>
  </si>
  <si>
    <t>Blue Pot @ £1.75 - Tray of 10</t>
  </si>
  <si>
    <t>Blue Pot @ £1.75- Tray of 10</t>
  </si>
  <si>
    <t>Total Floating Pot  (x1)</t>
  </si>
  <si>
    <r>
      <t xml:space="preserve">Large Pot @ £1.99each           </t>
    </r>
    <r>
      <rPr>
        <b/>
        <sz val="8"/>
        <rFont val="Calibri"/>
        <family val="2"/>
      </rPr>
      <t xml:space="preserve">  SPECIAL OFFER</t>
    </r>
  </si>
  <si>
    <t>Pygmaea Helvola</t>
  </si>
  <si>
    <t>Floating Tubs assorted x40</t>
  </si>
  <si>
    <t>Floating Tub Assorted</t>
  </si>
  <si>
    <t>Floating Tub Hydrocharis morsus ranae</t>
  </si>
  <si>
    <t>Floating Tub Pistia Stratiotes</t>
  </si>
  <si>
    <t>Floating Tub Salvinia Natans</t>
  </si>
  <si>
    <t>Floating Tub Assorted Shelf</t>
  </si>
  <si>
    <t>Floating Tub Nymphoides peltata</t>
  </si>
  <si>
    <t>FOC Floating Tub Pistia Stratiotes x10</t>
  </si>
  <si>
    <t>Sparganium erectum</t>
  </si>
  <si>
    <t>N. Burgundy Princess</t>
  </si>
  <si>
    <t>Scirpus zebrinus</t>
  </si>
  <si>
    <t>Scirpus cernuus</t>
  </si>
  <si>
    <t>Anagallis tenella</t>
  </si>
  <si>
    <t>pink bog pimpernel</t>
  </si>
  <si>
    <t>Sisyrinchium bellum</t>
  </si>
  <si>
    <t>Tulbaghia violacea</t>
  </si>
  <si>
    <t>Cyperus haspan</t>
  </si>
  <si>
    <t>Floating Pot Shelf assorted x50</t>
  </si>
  <si>
    <t>Floating Tub Assorted Shelf x50</t>
  </si>
  <si>
    <t>1L Small Waterliliy @ £8.68</t>
  </si>
  <si>
    <t>Floating Tubs Range- £1.75</t>
  </si>
  <si>
    <r>
      <t xml:space="preserve">Loose - </t>
    </r>
    <r>
      <rPr>
        <b/>
        <sz val="8"/>
        <color rgb="FFFF0000"/>
        <rFont val="Calibri"/>
        <family val="2"/>
      </rPr>
      <t>Buy x50 get x50 free</t>
    </r>
  </si>
  <si>
    <t>Loose @ £1.14 - Pack of 50</t>
  </si>
  <si>
    <r>
      <t xml:space="preserve">Loose Pistia Stratiotes </t>
    </r>
    <r>
      <rPr>
        <b/>
        <sz val="8"/>
        <color rgb="FFFF0000"/>
        <rFont val="Calibri"/>
        <family val="2"/>
      </rPr>
      <t>BOGOF</t>
    </r>
  </si>
  <si>
    <t>2L Assorted Waterlilies Mix x24 - x6 of each colour</t>
  </si>
  <si>
    <t>Total 2L Floating Islands (x5)</t>
  </si>
  <si>
    <r>
      <t xml:space="preserve">Loose Pistia Stratiotes </t>
    </r>
    <r>
      <rPr>
        <b/>
        <sz val="11"/>
        <rFont val="Calibri"/>
        <family val="2"/>
      </rPr>
      <t>BOGOF</t>
    </r>
  </si>
  <si>
    <t>Loose - Buy x50 get x50 free</t>
  </si>
  <si>
    <r>
      <t>Trolley Deals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For Easy Ordering</t>
    </r>
  </si>
  <si>
    <r>
      <t>2L Waterlilies x12 (x3 of each colour)</t>
    </r>
    <r>
      <rPr>
        <b/>
        <sz val="10"/>
        <color rgb="FFFF0000"/>
        <rFont val="Calibri"/>
        <family val="2"/>
        <scheme val="minor"/>
      </rPr>
      <t xml:space="preserve"> &amp; 8L Planted Contours x4</t>
    </r>
  </si>
  <si>
    <t>Discounted Price</t>
  </si>
  <si>
    <t>60 x 20L Premium Aquatic Compost - 10% discount</t>
  </si>
  <si>
    <t>palm sedge</t>
  </si>
  <si>
    <r>
      <t>Best Mix 1 - 1L Marginals x50 to include</t>
    </r>
    <r>
      <rPr>
        <sz val="10"/>
        <color rgb="FFFF0000"/>
        <rFont val="Calibri"/>
        <family val="2"/>
        <scheme val="minor"/>
      </rPr>
      <t xml:space="preserve">: </t>
    </r>
    <r>
      <rPr>
        <b/>
        <sz val="10"/>
        <color theme="1"/>
        <rFont val="Calibri"/>
        <family val="2"/>
        <scheme val="minor"/>
      </rPr>
      <t>Acorus Ogon, Alisma Plantago, Butomus Umbellatus, Equestium Japonicum &amp; Iris Pseudacorus</t>
    </r>
  </si>
  <si>
    <r>
      <t xml:space="preserve">Best Mix 4 - 1L Marginals x50 to include: </t>
    </r>
    <r>
      <rPr>
        <b/>
        <sz val="10"/>
        <rFont val="Calibri"/>
        <family val="2"/>
        <scheme val="minor"/>
      </rPr>
      <t>Acorus Calamus, Cyperus Papyrus, Glyceria Variegata, Lobelia Queen Victoria &amp; Typha Minima</t>
    </r>
  </si>
  <si>
    <r>
      <t>1L &amp; 2L Oxygenators Mix x20 1L &amp; x12 2L - 1L to include:</t>
    </r>
    <r>
      <rPr>
        <b/>
        <sz val="10"/>
        <rFont val="Calibri"/>
        <family val="2"/>
        <scheme val="minor"/>
      </rPr>
      <t xml:space="preserve"> Hottonia Palustris &amp; Scirpus Cernuus, </t>
    </r>
    <r>
      <rPr>
        <b/>
        <sz val="10"/>
        <color theme="9" tint="-0.249977111117893"/>
        <rFont val="Calibri"/>
        <family val="2"/>
        <scheme val="minor"/>
      </rPr>
      <t>2L to include;</t>
    </r>
    <r>
      <rPr>
        <b/>
        <sz val="10"/>
        <rFont val="Calibri"/>
        <family val="2"/>
        <scheme val="minor"/>
      </rPr>
      <t xml:space="preserve"> Hottonia Palustris x3, Myrio Crispatum x6 &amp; Scirpus Cernuus x6</t>
    </r>
  </si>
  <si>
    <r>
      <t xml:space="preserve">Best Mix 1 - 2L Assorted Marginals x24 to include x6 each: </t>
    </r>
    <r>
      <rPr>
        <b/>
        <sz val="10"/>
        <rFont val="Calibri"/>
        <family val="2"/>
        <scheme val="minor"/>
      </rPr>
      <t xml:space="preserve"> Anemopsis Californicum, Cyperus Payprus &amp; Iris Pseudacorus, Zantedeschia Aethiopica</t>
    </r>
  </si>
  <si>
    <t xml:space="preserve"> </t>
  </si>
  <si>
    <t>13.09.2021</t>
  </si>
  <si>
    <t>Week 37</t>
  </si>
  <si>
    <t>Prices still held until 1st October 2021!</t>
  </si>
  <si>
    <r>
      <t>Best Mix 2 - 1L Marginals x50 to include:</t>
    </r>
    <r>
      <rPr>
        <b/>
        <sz val="10"/>
        <color theme="1"/>
        <rFont val="Calibri"/>
        <family val="2"/>
        <scheme val="minor"/>
      </rPr>
      <t xml:space="preserve"> Iris Versicolor, Juncus Inflexus, Houttynia Cordata Flame, Primula Miller's Crimson &amp; Zantedschia Aethiopica</t>
    </r>
  </si>
  <si>
    <r>
      <t xml:space="preserve">Best Mix 3 - 1L Marginals x50 to include: </t>
    </r>
    <r>
      <rPr>
        <b/>
        <sz val="10"/>
        <rFont val="Calibri"/>
        <family val="2"/>
        <scheme val="minor"/>
      </rPr>
      <t>Caltha Palustris, Iris Louisiana 'Black Gamecock', Juncus Effusus, Mentha Aquatica &amp; Sciprus Lacustris</t>
    </r>
  </si>
  <si>
    <r>
      <t xml:space="preserve">Best Mix 2 - 2L Assorted Marginals x24 to include x6 each: </t>
    </r>
    <r>
      <rPr>
        <b/>
        <sz val="10"/>
        <rFont val="Calibri"/>
        <family val="2"/>
        <scheme val="minor"/>
      </rPr>
      <t>Acorus Calamus Variegata, Acorus Ogon, Iris Laevigata 'Mottled Beauty' &amp; Pontederia Cordata</t>
    </r>
  </si>
  <si>
    <t>Aquatic Baskets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</si>
</sst>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numFmt numFmtId="165" formatCode="[$£]#,##0.00;[Red]&quot;-&quot;[$£]#,##0.00"/>
    <numFmt numFmtId="166" formatCode="&quot; &quot;[$£]#,##0.00&quot; &quot;;&quot;-&quot;[$£]#,##0.00&quot; &quot;;&quot; &quot;[$£]&quot;-&quot;00&quot; &quot;;&quot; &quot;@&quot; &quot;"/>
    <numFmt numFmtId="167" formatCode="&quot; &quot;#,##0&quot; &quot;;&quot;-&quot;#,##0&quot; &quot;;&quot; -&quot;00&quot; &quot;;&quot; &quot;@&quot; &quot;"/>
    <numFmt numFmtId="168" formatCode="&quot; &quot;#,##0.000&quot; &quot;;&quot;-&quot;#,##0.000&quot; &quot;;&quot; -&quot;00&quot; &quot;;&quot; &quot;@&quot; &quot;"/>
    <numFmt numFmtId="169" formatCode="&quot; &quot;#,##0.00&quot; &quot;;&quot;-&quot;#,##0.00&quot; &quot;;&quot; -&quot;00&quot; &quot;;&quot; &quot;@&quot; &quot;"/>
    <numFmt numFmtId="170" formatCode="&quot;£&quot;#,##0.00"/>
  </numFmts>
  <fonts count="14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b/>
      <sz val="11"/>
      <color rgb="FF000000"/>
      <name val="Calibri"/>
      <family val="2"/>
    </font>
    <font>
      <sz val="10"/>
      <color rgb="FF000000"/>
      <name val="Arial"/>
      <family val="2"/>
    </font>
    <font>
      <sz val="11"/>
      <color rgb="FFFF0000"/>
      <name val="Calibri"/>
      <family val="2"/>
    </font>
    <font>
      <sz val="9"/>
      <color rgb="FF000000"/>
      <name val="Calibri"/>
      <family val="2"/>
    </font>
    <font>
      <b/>
      <sz val="22"/>
      <color rgb="FF506C9A"/>
      <name val="Microsoft PhagsPa"/>
      <family val="2"/>
    </font>
    <font>
      <sz val="7"/>
      <color rgb="FFFFFFFF"/>
      <name val="Microsoft PhagsPa"/>
      <family val="2"/>
    </font>
    <font>
      <b/>
      <sz val="22"/>
      <color rgb="FFFF0000"/>
      <name val="Microsoft PhagsPa"/>
      <family val="2"/>
    </font>
    <font>
      <b/>
      <sz val="10"/>
      <color rgb="FFFFFFFF"/>
      <name val="Microsoft PhagsPa"/>
      <family val="2"/>
    </font>
    <font>
      <b/>
      <sz val="14"/>
      <color rgb="FFFF0000"/>
      <name val="Microsoft PhagsPa"/>
      <family val="2"/>
    </font>
    <font>
      <sz val="11"/>
      <color rgb="FF000000"/>
      <name val="Microsoft PhagsPa"/>
      <family val="2"/>
    </font>
    <font>
      <sz val="14"/>
      <color rgb="FF545454"/>
      <name val="Microsoft PhagsPa"/>
      <family val="2"/>
    </font>
    <font>
      <sz val="14"/>
      <color rgb="FFFFFFFF"/>
      <name val="Microsoft PhagsPa"/>
      <family val="2"/>
    </font>
    <font>
      <b/>
      <sz val="10"/>
      <color rgb="FFFF0000"/>
      <name val="Microsoft PhagsPa"/>
      <family val="2"/>
    </font>
    <font>
      <b/>
      <sz val="10"/>
      <color rgb="FF305496"/>
      <name val="Microsoft PhagsPa"/>
      <family val="2"/>
    </font>
    <font>
      <b/>
      <sz val="10"/>
      <color rgb="FF000000"/>
      <name val="Microsoft PhagsPa"/>
      <family val="2"/>
    </font>
    <font>
      <sz val="10"/>
      <color rgb="FF000000"/>
      <name val="Microsoft PhagsPa"/>
      <family val="2"/>
    </font>
    <font>
      <sz val="10"/>
      <color rgb="FFFFFFFF"/>
      <name val="Microsoft PhagsPa"/>
      <family val="2"/>
    </font>
    <font>
      <sz val="10"/>
      <color rgb="FFFF0000"/>
      <name val="Microsoft PhagsPa"/>
      <family val="2"/>
    </font>
    <font>
      <sz val="12"/>
      <color rgb="FFFF0000"/>
      <name val="Microsoft PhagsPa"/>
      <family val="2"/>
    </font>
    <font>
      <sz val="9"/>
      <color rgb="FF000000"/>
      <name val="Microsoft PhagsPa"/>
      <family val="2"/>
    </font>
    <font>
      <sz val="11"/>
      <color rgb="FFFFFFFF"/>
      <name val="Microsoft PhagsPa"/>
      <family val="2"/>
    </font>
    <font>
      <b/>
      <sz val="11"/>
      <color rgb="FF000000"/>
      <name val="Microsoft PhagsPa"/>
      <family val="2"/>
    </font>
    <font>
      <sz val="10"/>
      <color rgb="FF000000"/>
      <name val="Calibri"/>
      <family val="2"/>
    </font>
    <font>
      <b/>
      <sz val="12"/>
      <color rgb="FF000000"/>
      <name val="Calibri"/>
      <family val="2"/>
    </font>
    <font>
      <b/>
      <sz val="18"/>
      <color rgb="FF000000"/>
      <name val="Calibri"/>
      <family val="2"/>
    </font>
    <font>
      <b/>
      <sz val="10"/>
      <color rgb="FF000000"/>
      <name val="Calibri"/>
      <family val="2"/>
    </font>
    <font>
      <b/>
      <sz val="16"/>
      <color rgb="FFFF0000"/>
      <name val="Calibri"/>
      <family val="2"/>
    </font>
    <font>
      <sz val="7"/>
      <color rgb="FF000000"/>
      <name val="Calibri"/>
      <family val="2"/>
    </font>
    <font>
      <sz val="8"/>
      <color rgb="FF000000"/>
      <name val="Calibri"/>
      <family val="2"/>
    </font>
    <font>
      <b/>
      <sz val="8"/>
      <color rgb="FF000000"/>
      <name val="Calibri"/>
      <family val="2"/>
    </font>
    <font>
      <sz val="8"/>
      <color rgb="FF305496"/>
      <name val="Calibri"/>
      <family val="2"/>
    </font>
    <font>
      <b/>
      <sz val="16"/>
      <color rgb="FF000000"/>
      <name val="Calibri"/>
      <family val="2"/>
    </font>
    <font>
      <b/>
      <sz val="14"/>
      <color rgb="FF000000"/>
      <name val="Calibri"/>
      <family val="2"/>
    </font>
    <font>
      <sz val="11"/>
      <color rgb="FF305496"/>
      <name val="Calibri"/>
      <family val="2"/>
    </font>
    <font>
      <b/>
      <sz val="8"/>
      <color rgb="FFFF0000"/>
      <name val="Calibri"/>
      <family val="2"/>
    </font>
    <font>
      <b/>
      <sz val="9"/>
      <color rgb="FF000000"/>
      <name val="Calibri"/>
      <family val="2"/>
    </font>
    <font>
      <b/>
      <sz val="11"/>
      <color rgb="FFFFFFFF"/>
      <name val="Calibri"/>
      <family val="2"/>
    </font>
    <font>
      <i/>
      <sz val="8"/>
      <color rgb="FF305496"/>
      <name val="Calibri"/>
      <family val="2"/>
    </font>
    <font>
      <b/>
      <sz val="11"/>
      <color rgb="FFA6A6A6"/>
      <name val="Calibri"/>
      <family val="2"/>
    </font>
    <font>
      <sz val="7"/>
      <color rgb="FF000000"/>
      <name val="Calibri Light"/>
      <family val="2"/>
    </font>
    <font>
      <sz val="7"/>
      <color rgb="FFFF0000"/>
      <name val="Calibri"/>
      <family val="2"/>
    </font>
    <font>
      <b/>
      <sz val="10"/>
      <color rgb="FFFFFFFF"/>
      <name val="Calibri"/>
      <family val="2"/>
    </font>
    <font>
      <sz val="7"/>
      <color rgb="FFFFFFFF"/>
      <name val="Calibri"/>
      <family val="2"/>
    </font>
    <font>
      <b/>
      <sz val="9"/>
      <color rgb="FFFF0000"/>
      <name val="Calibri"/>
      <family val="2"/>
    </font>
    <font>
      <b/>
      <sz val="11"/>
      <color rgb="FF243E72"/>
      <name val="Calibri"/>
      <family val="2"/>
    </font>
    <font>
      <b/>
      <sz val="16"/>
      <color rgb="FF243E72"/>
      <name val="Calibri"/>
      <family val="2"/>
    </font>
    <font>
      <sz val="11"/>
      <color rgb="FF243E72"/>
      <name val="Calibri"/>
      <family val="2"/>
    </font>
    <font>
      <b/>
      <sz val="20"/>
      <color rgb="FF243E72"/>
      <name val="Calibri"/>
      <family val="2"/>
    </font>
    <font>
      <b/>
      <sz val="9"/>
      <color rgb="FF243E72"/>
      <name val="Calibri"/>
      <family val="2"/>
    </font>
    <font>
      <b/>
      <sz val="7"/>
      <color rgb="FFFF0000"/>
      <name val="Calibri"/>
      <family val="2"/>
    </font>
    <font>
      <b/>
      <sz val="8"/>
      <color rgb="FFE26714"/>
      <name val="Calibri"/>
      <family val="2"/>
    </font>
    <font>
      <b/>
      <sz val="9"/>
      <color rgb="FFE26714"/>
      <name val="Calibri"/>
      <family val="2"/>
    </font>
    <font>
      <b/>
      <sz val="16"/>
      <color rgb="FFE26714"/>
      <name val="Calibri"/>
      <family val="2"/>
    </font>
    <font>
      <b/>
      <sz val="14"/>
      <color rgb="FFE26714"/>
      <name val="Calibri"/>
      <family val="2"/>
    </font>
    <font>
      <b/>
      <sz val="20"/>
      <color rgb="FFE26714"/>
      <name val="Calibri"/>
      <family val="2"/>
    </font>
    <font>
      <b/>
      <sz val="8"/>
      <color rgb="FF243E72"/>
      <name val="Calibri"/>
      <family val="2"/>
    </font>
    <font>
      <b/>
      <sz val="8"/>
      <color rgb="FFC85C12"/>
      <name val="Calibri"/>
      <family val="2"/>
    </font>
    <font>
      <b/>
      <sz val="9"/>
      <color rgb="FFA64C0E"/>
      <name val="Calibri"/>
      <family val="2"/>
    </font>
    <font>
      <b/>
      <sz val="16"/>
      <color rgb="FF305496"/>
      <name val="Calibri"/>
      <family val="2"/>
    </font>
    <font>
      <b/>
      <sz val="14"/>
      <color rgb="FF305496"/>
      <name val="Calibri"/>
      <family val="2"/>
    </font>
    <font>
      <b/>
      <sz val="9"/>
      <color rgb="FF305496"/>
      <name val="Calibri"/>
      <family val="2"/>
    </font>
    <font>
      <b/>
      <sz val="20"/>
      <color rgb="FF305496"/>
      <name val="Calibri"/>
      <family val="2"/>
    </font>
    <font>
      <sz val="7"/>
      <color rgb="FF243E72"/>
      <name val="Calibri"/>
      <family val="2"/>
    </font>
    <font>
      <sz val="8"/>
      <color rgb="FF243E72"/>
      <name val="Calibri"/>
      <family val="2"/>
    </font>
    <font>
      <b/>
      <sz val="15"/>
      <color rgb="FF000000"/>
      <name val="Calibri"/>
      <family val="2"/>
    </font>
    <font>
      <sz val="9"/>
      <color rgb="FFFF0000"/>
      <name val="Calibri"/>
      <family val="2"/>
    </font>
    <font>
      <sz val="8"/>
      <color rgb="FFFF0000"/>
      <name val="Calibri"/>
      <family val="2"/>
    </font>
    <font>
      <b/>
      <sz val="14"/>
      <color rgb="FFFF0000"/>
      <name val="Calibri"/>
      <family val="2"/>
    </font>
    <font>
      <b/>
      <sz val="7"/>
      <color rgb="FF000000"/>
      <name val="Calibri"/>
      <family val="2"/>
    </font>
    <font>
      <b/>
      <sz val="10"/>
      <color rgb="FFFF0000"/>
      <name val="Calibri"/>
      <family val="2"/>
    </font>
    <font>
      <b/>
      <sz val="12"/>
      <color rgb="FFFF0000"/>
      <name val="Calibri"/>
      <family val="2"/>
    </font>
    <font>
      <sz val="12"/>
      <color rgb="FF000000"/>
      <name val="Calibri"/>
      <family val="2"/>
    </font>
    <font>
      <b/>
      <sz val="11"/>
      <color rgb="FF000000"/>
      <name val="Gulim"/>
      <family val="2"/>
      <charset val="129"/>
    </font>
    <font>
      <b/>
      <sz val="12"/>
      <color rgb="FF000000"/>
      <name val="Gulim"/>
      <family val="2"/>
      <charset val="129"/>
    </font>
    <font>
      <sz val="9"/>
      <color rgb="FF000000"/>
      <name val="Gulim"/>
      <family val="2"/>
      <charset val="129"/>
    </font>
    <font>
      <sz val="11"/>
      <color rgb="FF000000"/>
      <name val="Gulim"/>
      <family val="2"/>
      <charset val="129"/>
    </font>
    <font>
      <sz val="11"/>
      <color rgb="FFFF0000"/>
      <name val="Gulim"/>
      <family val="2"/>
      <charset val="129"/>
    </font>
    <font>
      <sz val="11"/>
      <color rgb="FFFFFFFF"/>
      <name val="Gulim"/>
      <family val="2"/>
      <charset val="129"/>
    </font>
    <font>
      <b/>
      <sz val="8"/>
      <color rgb="FFFFFFFF"/>
      <name val="Calibri"/>
      <family val="2"/>
    </font>
    <font>
      <b/>
      <sz val="11"/>
      <name val="Calibri"/>
      <family val="2"/>
    </font>
    <font>
      <sz val="7"/>
      <name val="Calibri"/>
      <family val="2"/>
    </font>
    <font>
      <b/>
      <sz val="11"/>
      <color theme="1"/>
      <name val="Calibri"/>
      <family val="2"/>
      <scheme val="minor"/>
    </font>
    <font>
      <b/>
      <sz val="16"/>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b/>
      <sz val="11"/>
      <color rgb="FFFF0000"/>
      <name val="Calibri"/>
      <family val="2"/>
      <scheme val="minor"/>
    </font>
    <font>
      <b/>
      <sz val="9"/>
      <color theme="1"/>
      <name val="Calibri"/>
      <family val="2"/>
      <scheme val="minor"/>
    </font>
    <font>
      <sz val="9"/>
      <color theme="1"/>
      <name val="Calibri"/>
      <family val="2"/>
      <scheme val="minor"/>
    </font>
    <font>
      <b/>
      <sz val="9"/>
      <color theme="0" tint="-0.34998626667073579"/>
      <name val="Calibri"/>
      <family val="2"/>
      <scheme val="minor"/>
    </font>
    <font>
      <b/>
      <sz val="9"/>
      <name val="Calibri"/>
      <family val="2"/>
      <scheme val="minor"/>
    </font>
    <font>
      <sz val="8"/>
      <name val="Calibri"/>
      <family val="2"/>
    </font>
    <font>
      <sz val="11"/>
      <color theme="4" tint="-0.249977111117893"/>
      <name val="Calibri"/>
      <family val="2"/>
      <scheme val="minor"/>
    </font>
    <font>
      <sz val="8"/>
      <color theme="4"/>
      <name val="Calibri"/>
      <family val="2"/>
    </font>
    <font>
      <b/>
      <u/>
      <sz val="7"/>
      <color rgb="FF000000"/>
      <name val="Calibri"/>
      <family val="2"/>
    </font>
    <font>
      <sz val="11"/>
      <color theme="0"/>
      <name val="Calibri"/>
      <family val="2"/>
      <scheme val="minor"/>
    </font>
    <font>
      <sz val="1"/>
      <color theme="9" tint="0.79998168889431442"/>
      <name val="Calibri"/>
      <family val="2"/>
    </font>
    <font>
      <b/>
      <sz val="18"/>
      <color rgb="FF243E72"/>
      <name val="Calibri"/>
      <family val="2"/>
    </font>
    <font>
      <b/>
      <sz val="11"/>
      <color theme="0"/>
      <name val="Calibri"/>
      <family val="2"/>
    </font>
    <font>
      <b/>
      <sz val="12"/>
      <color rgb="FFFF0000"/>
      <name val="Arial"/>
      <family val="2"/>
    </font>
    <font>
      <b/>
      <sz val="12"/>
      <color rgb="FFFFFFFF"/>
      <name val="Microsoft PhagsPa"/>
      <family val="2"/>
    </font>
    <font>
      <b/>
      <sz val="10"/>
      <color rgb="FFFF0000"/>
      <name val="Calibri"/>
      <family val="2"/>
      <scheme val="minor"/>
    </font>
    <font>
      <b/>
      <sz val="11"/>
      <name val="Calibri"/>
      <family val="2"/>
      <scheme val="minor"/>
    </font>
    <font>
      <b/>
      <sz val="12"/>
      <color theme="1"/>
      <name val="Calibri"/>
      <family val="2"/>
      <scheme val="minor"/>
    </font>
    <font>
      <sz val="10"/>
      <color theme="1"/>
      <name val="Calibri"/>
      <family val="2"/>
      <scheme val="minor"/>
    </font>
    <font>
      <b/>
      <sz val="6"/>
      <color rgb="FF000000"/>
      <name val="Calibri"/>
      <family val="2"/>
    </font>
    <font>
      <sz val="7"/>
      <name val="Calibri"/>
      <family val="2"/>
      <scheme val="minor"/>
    </font>
    <font>
      <b/>
      <sz val="11"/>
      <color rgb="FFFF0000"/>
      <name val="Arial"/>
      <family val="2"/>
    </font>
    <font>
      <b/>
      <sz val="8"/>
      <color rgb="FFFFC000"/>
      <name val="Calibri"/>
      <family val="2"/>
    </font>
    <font>
      <b/>
      <sz val="8"/>
      <color rgb="FFF8F200"/>
      <name val="Calibri"/>
      <family val="2"/>
    </font>
    <font>
      <b/>
      <sz val="8"/>
      <color rgb="FFFF00FF"/>
      <name val="Calibri"/>
      <family val="2"/>
    </font>
    <font>
      <sz val="6"/>
      <color rgb="FF000000"/>
      <name val="Calibri"/>
      <family val="2"/>
    </font>
    <font>
      <i/>
      <sz val="8"/>
      <color theme="4"/>
      <name val="Calibri"/>
      <family val="2"/>
    </font>
    <font>
      <i/>
      <sz val="8"/>
      <color theme="4" tint="-0.249977111117893"/>
      <name val="Calibri"/>
      <family val="2"/>
    </font>
    <font>
      <sz val="11"/>
      <name val="Calibri"/>
      <family val="2"/>
    </font>
    <font>
      <b/>
      <sz val="6"/>
      <name val="Calibri"/>
      <family val="2"/>
    </font>
    <font>
      <b/>
      <sz val="7"/>
      <color rgb="FFFF00FF"/>
      <name val="Calibri"/>
      <family val="2"/>
    </font>
    <font>
      <b/>
      <sz val="7"/>
      <color rgb="FFFFC000"/>
      <name val="Calibri"/>
      <family val="2"/>
    </font>
    <font>
      <b/>
      <sz val="7"/>
      <name val="Calibri"/>
      <family val="2"/>
    </font>
    <font>
      <sz val="11"/>
      <color theme="0"/>
      <name val="Calibri"/>
      <family val="2"/>
    </font>
    <font>
      <i/>
      <sz val="8"/>
      <color theme="3"/>
      <name val="Calibri"/>
      <family val="2"/>
    </font>
    <font>
      <sz val="7"/>
      <color theme="0"/>
      <name val="Calibri"/>
      <family val="2"/>
    </font>
    <font>
      <b/>
      <sz val="8"/>
      <name val="Calibri"/>
      <family val="2"/>
    </font>
    <font>
      <b/>
      <sz val="20"/>
      <color rgb="FFFF0000"/>
      <name val="Calibri"/>
      <family val="2"/>
    </font>
    <font>
      <b/>
      <sz val="18"/>
      <color rgb="FFFF0000"/>
      <name val="Calibri"/>
      <family val="2"/>
      <scheme val="minor"/>
    </font>
    <font>
      <b/>
      <sz val="16"/>
      <name val="Calibri"/>
      <family val="2"/>
    </font>
    <font>
      <i/>
      <sz val="8"/>
      <name val="Calibri"/>
      <family val="2"/>
    </font>
    <font>
      <b/>
      <i/>
      <sz val="16"/>
      <name val="Calibri"/>
      <family val="2"/>
    </font>
    <font>
      <b/>
      <sz val="14"/>
      <name val="Calibri"/>
      <family val="2"/>
    </font>
    <font>
      <b/>
      <sz val="10"/>
      <color rgb="FF243E72"/>
      <name val="Calibri"/>
      <family val="2"/>
    </font>
    <font>
      <b/>
      <sz val="10"/>
      <color rgb="FF305496"/>
      <name val="Calibri"/>
      <family val="2"/>
    </font>
    <font>
      <b/>
      <sz val="9"/>
      <name val="Calibri"/>
      <family val="2"/>
    </font>
    <font>
      <sz val="10"/>
      <color rgb="FFFF0000"/>
      <name val="Calibri"/>
      <family val="2"/>
      <scheme val="minor"/>
    </font>
    <font>
      <b/>
      <sz val="10"/>
      <color theme="1"/>
      <name val="Calibri"/>
      <family val="2"/>
      <scheme val="minor"/>
    </font>
    <font>
      <b/>
      <sz val="10"/>
      <name val="Calibri"/>
      <family val="2"/>
      <scheme val="minor"/>
    </font>
    <font>
      <b/>
      <sz val="10"/>
      <color theme="9" tint="-0.499984740745262"/>
      <name val="Calibri"/>
      <family val="2"/>
      <scheme val="minor"/>
    </font>
    <font>
      <b/>
      <sz val="10"/>
      <color theme="9" tint="-0.249977111117893"/>
      <name val="Calibri"/>
      <family val="2"/>
      <scheme val="minor"/>
    </font>
    <font>
      <b/>
      <sz val="10"/>
      <color theme="4" tint="-0.249977111117893"/>
      <name val="Calibri"/>
      <family val="2"/>
      <scheme val="minor"/>
    </font>
  </fonts>
  <fills count="15">
    <fill>
      <patternFill patternType="none"/>
    </fill>
    <fill>
      <patternFill patternType="gray125"/>
    </fill>
    <fill>
      <patternFill patternType="solid">
        <fgColor rgb="FF808080"/>
        <bgColor rgb="FF808080"/>
      </patternFill>
    </fill>
    <fill>
      <patternFill patternType="solid">
        <fgColor rgb="FFD9D9D9"/>
        <bgColor rgb="FFD9D9D9"/>
      </patternFill>
    </fill>
    <fill>
      <patternFill patternType="solid">
        <fgColor rgb="FFFFFFFF"/>
        <bgColor rgb="FFFFFFFF"/>
      </patternFill>
    </fill>
    <fill>
      <patternFill patternType="solid">
        <fgColor rgb="FFFF0000"/>
        <bgColor rgb="FFFF0000"/>
      </patternFill>
    </fill>
    <fill>
      <patternFill patternType="solid">
        <fgColor rgb="FFA6A6A6"/>
        <bgColor rgb="FFA6A6A6"/>
      </patternFill>
    </fill>
    <fill>
      <patternFill patternType="solid">
        <fgColor rgb="FFDDEBF7"/>
        <bgColor rgb="FFDDEBF7"/>
      </patternFill>
    </fill>
    <fill>
      <patternFill patternType="solid">
        <fgColor rgb="FFFCE4D6"/>
        <bgColor rgb="FFFCE4D6"/>
      </patternFill>
    </fill>
    <fill>
      <patternFill patternType="solid">
        <fgColor rgb="FFFEF5F0"/>
        <bgColor rgb="FFFEF5F0"/>
      </patternFill>
    </fill>
    <fill>
      <patternFill patternType="solid">
        <fgColor rgb="FFF2F8EE"/>
        <bgColor rgb="FFF2F8EE"/>
      </patternFill>
    </fill>
    <fill>
      <patternFill patternType="solid">
        <fgColor rgb="FF4472C4"/>
        <bgColor rgb="FF4472C4"/>
      </patternFill>
    </fill>
    <fill>
      <patternFill patternType="solid">
        <fgColor theme="0"/>
        <bgColor indexed="64"/>
      </patternFill>
    </fill>
    <fill>
      <patternFill patternType="solid">
        <fgColor theme="0"/>
        <bgColor rgb="FF808080"/>
      </patternFill>
    </fill>
    <fill>
      <patternFill patternType="solid">
        <fgColor theme="0"/>
        <bgColor rgb="FFEDF1F9"/>
      </patternFill>
    </fill>
  </fills>
  <borders count="444">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FF0000"/>
      </left>
      <right style="thin">
        <color rgb="FF000000"/>
      </right>
      <top style="medium">
        <color rgb="FFFF0000"/>
      </top>
      <bottom/>
      <diagonal/>
    </border>
    <border>
      <left style="thin">
        <color rgb="FF000000"/>
      </left>
      <right/>
      <top style="medium">
        <color rgb="FFFF0000"/>
      </top>
      <bottom style="medium">
        <color rgb="FFFF0000"/>
      </bottom>
      <diagonal/>
    </border>
    <border>
      <left/>
      <right/>
      <top style="medium">
        <color rgb="FFFF0000"/>
      </top>
      <bottom style="medium">
        <color rgb="FFFF0000"/>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rgb="FF000000"/>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thin">
        <color rgb="FF000000"/>
      </bottom>
      <diagonal/>
    </border>
    <border>
      <left/>
      <right style="thin">
        <color rgb="FF000000"/>
      </right>
      <top style="medium">
        <color rgb="FFFF0000"/>
      </top>
      <bottom style="thin">
        <color rgb="FF000000"/>
      </bottom>
      <diagonal/>
    </border>
    <border>
      <left style="thin">
        <color rgb="FF000000"/>
      </left>
      <right/>
      <top style="medium">
        <color rgb="FFFF0000"/>
      </top>
      <bottom style="thin">
        <color rgb="FF000000"/>
      </bottom>
      <diagonal/>
    </border>
    <border>
      <left/>
      <right/>
      <top style="medium">
        <color rgb="FFFF0000"/>
      </top>
      <bottom style="thin">
        <color rgb="FF000000"/>
      </bottom>
      <diagonal/>
    </border>
    <border>
      <left/>
      <right style="medium">
        <color rgb="FFFF0000"/>
      </right>
      <top style="medium">
        <color rgb="FFFF0000"/>
      </top>
      <bottom style="thin">
        <color rgb="FF000000"/>
      </bottom>
      <diagonal/>
    </border>
    <border>
      <left style="medium">
        <color rgb="FFFF0000"/>
      </left>
      <right/>
      <top style="thin">
        <color rgb="FF000000"/>
      </top>
      <bottom style="thin">
        <color rgb="FF000000"/>
      </bottom>
      <diagonal/>
    </border>
    <border>
      <left/>
      <right style="medium">
        <color rgb="FFFF0000"/>
      </right>
      <top style="thin">
        <color rgb="FF000000"/>
      </top>
      <bottom style="thin">
        <color rgb="FF000000"/>
      </bottom>
      <diagonal/>
    </border>
    <border>
      <left style="medium">
        <color rgb="FFFF0000"/>
      </left>
      <right/>
      <top style="thin">
        <color rgb="FF000000"/>
      </top>
      <bottom style="medium">
        <color rgb="FFFF0000"/>
      </bottom>
      <diagonal/>
    </border>
    <border>
      <left/>
      <right style="thin">
        <color rgb="FF000000"/>
      </right>
      <top style="thin">
        <color rgb="FF000000"/>
      </top>
      <bottom style="medium">
        <color rgb="FFFF0000"/>
      </bottom>
      <diagonal/>
    </border>
    <border>
      <left style="thin">
        <color rgb="FF000000"/>
      </left>
      <right/>
      <top style="thin">
        <color rgb="FF000000"/>
      </top>
      <bottom style="medium">
        <color rgb="FFFF0000"/>
      </bottom>
      <diagonal/>
    </border>
    <border>
      <left/>
      <right/>
      <top style="thin">
        <color rgb="FF000000"/>
      </top>
      <bottom style="medium">
        <color rgb="FFFF0000"/>
      </bottom>
      <diagonal/>
    </border>
    <border>
      <left/>
      <right style="medium">
        <color rgb="FFFF0000"/>
      </right>
      <top style="thin">
        <color rgb="FF000000"/>
      </top>
      <bottom style="medium">
        <color rgb="FFFF0000"/>
      </bottom>
      <diagonal/>
    </border>
    <border>
      <left style="thin">
        <color rgb="FF000000"/>
      </left>
      <right/>
      <top style="medium">
        <color rgb="FF00B050"/>
      </top>
      <bottom style="medium">
        <color rgb="FF00B050"/>
      </bottom>
      <diagonal/>
    </border>
    <border>
      <left/>
      <right/>
      <top style="medium">
        <color rgb="FF00B050"/>
      </top>
      <bottom/>
      <diagonal/>
    </border>
    <border>
      <left/>
      <right style="medium">
        <color rgb="FF00B050"/>
      </right>
      <top style="medium">
        <color rgb="FF00B050"/>
      </top>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thin">
        <color rgb="FF000000"/>
      </bottom>
      <diagonal/>
    </border>
    <border>
      <left/>
      <right style="thin">
        <color rgb="FF000000"/>
      </right>
      <top style="medium">
        <color rgb="FF00B050"/>
      </top>
      <bottom style="thin">
        <color rgb="FF000000"/>
      </bottom>
      <diagonal/>
    </border>
    <border>
      <left style="thin">
        <color rgb="FF000000"/>
      </left>
      <right/>
      <top style="medium">
        <color rgb="FF00B050"/>
      </top>
      <bottom style="thin">
        <color rgb="FF000000"/>
      </bottom>
      <diagonal/>
    </border>
    <border>
      <left/>
      <right/>
      <top style="medium">
        <color rgb="FF00B050"/>
      </top>
      <bottom style="thin">
        <color rgb="FF000000"/>
      </bottom>
      <diagonal/>
    </border>
    <border>
      <left/>
      <right style="medium">
        <color rgb="FF00B050"/>
      </right>
      <top style="medium">
        <color rgb="FF00B050"/>
      </top>
      <bottom style="thin">
        <color rgb="FF000000"/>
      </bottom>
      <diagonal/>
    </border>
    <border>
      <left/>
      <right style="medium">
        <color rgb="FF00B050"/>
      </right>
      <top style="thin">
        <color rgb="FF000000"/>
      </top>
      <bottom style="thin">
        <color rgb="FF000000"/>
      </bottom>
      <diagonal/>
    </border>
    <border>
      <left style="medium">
        <color rgb="FF00B050"/>
      </left>
      <right/>
      <top style="thin">
        <color rgb="FF000000"/>
      </top>
      <bottom style="thin">
        <color rgb="FF000000"/>
      </bottom>
      <diagonal/>
    </border>
    <border>
      <left style="medium">
        <color rgb="FF00B050"/>
      </left>
      <right/>
      <top style="thin">
        <color rgb="FF000000"/>
      </top>
      <bottom style="medium">
        <color rgb="FF00B050"/>
      </bottom>
      <diagonal/>
    </border>
    <border>
      <left/>
      <right style="thin">
        <color rgb="FF000000"/>
      </right>
      <top style="thin">
        <color rgb="FF000000"/>
      </top>
      <bottom style="medium">
        <color rgb="FF00B050"/>
      </bottom>
      <diagonal/>
    </border>
    <border>
      <left style="thin">
        <color rgb="FF000000"/>
      </left>
      <right/>
      <top style="thin">
        <color rgb="FF000000"/>
      </top>
      <bottom style="medium">
        <color rgb="FF00B050"/>
      </bottom>
      <diagonal/>
    </border>
    <border>
      <left/>
      <right/>
      <top style="thin">
        <color rgb="FF000000"/>
      </top>
      <bottom style="medium">
        <color rgb="FF00B050"/>
      </bottom>
      <diagonal/>
    </border>
    <border>
      <left/>
      <right style="medium">
        <color rgb="FF00B050"/>
      </right>
      <top style="thin">
        <color rgb="FF000000"/>
      </top>
      <bottom style="medium">
        <color rgb="FF00B050"/>
      </bottom>
      <diagonal/>
    </border>
    <border>
      <left style="medium">
        <color rgb="FF00B050"/>
      </left>
      <right style="thin">
        <color rgb="FF000000"/>
      </right>
      <top style="medium">
        <color rgb="FF00B050"/>
      </top>
      <bottom/>
      <diagonal/>
    </border>
    <border>
      <left/>
      <right/>
      <top style="medium">
        <color rgb="FF00B050"/>
      </top>
      <bottom style="medium">
        <color rgb="FF00B050"/>
      </bottom>
      <diagonal/>
    </border>
    <border>
      <left style="medium">
        <color rgb="FF00B050"/>
      </left>
      <right style="thin">
        <color rgb="FF000000"/>
      </right>
      <top/>
      <bottom style="medium">
        <color rgb="FF00B050"/>
      </bottom>
      <diagonal/>
    </border>
    <border>
      <left style="medium">
        <color rgb="FF00B050"/>
      </left>
      <right/>
      <top/>
      <bottom style="medium">
        <color rgb="FF00B050"/>
      </bottom>
      <diagonal/>
    </border>
    <border>
      <left/>
      <right style="thin">
        <color rgb="FF000000"/>
      </right>
      <top/>
      <bottom style="medium">
        <color rgb="FF00B050"/>
      </bottom>
      <diagonal/>
    </border>
    <border>
      <left style="thin">
        <color rgb="FF000000"/>
      </left>
      <right/>
      <top/>
      <bottom style="medium">
        <color rgb="FF00B050"/>
      </bottom>
      <diagonal/>
    </border>
    <border>
      <left style="medium">
        <color rgb="FF00B05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B050"/>
      </right>
      <top/>
      <bottom style="thin">
        <color rgb="FF000000"/>
      </bottom>
      <diagonal/>
    </border>
    <border>
      <left style="thin">
        <color rgb="FF000000"/>
      </left>
      <right/>
      <top style="thick">
        <color rgb="FFA64C0E"/>
      </top>
      <bottom style="medium">
        <color rgb="FFA64C0E"/>
      </bottom>
      <diagonal/>
    </border>
    <border>
      <left/>
      <right/>
      <top style="thick">
        <color rgb="FFA64C0E"/>
      </top>
      <bottom style="medium">
        <color rgb="FFA64C0E"/>
      </bottom>
      <diagonal/>
    </border>
    <border>
      <left style="thick">
        <color rgb="FFA64C0E"/>
      </left>
      <right style="thin">
        <color rgb="FF000000"/>
      </right>
      <top/>
      <bottom style="medium">
        <color rgb="FFA64C0E"/>
      </bottom>
      <diagonal/>
    </border>
    <border>
      <left style="medium">
        <color rgb="FFA64C0E"/>
      </left>
      <right/>
      <top style="medium">
        <color rgb="FFA64C0E"/>
      </top>
      <bottom style="thin">
        <color rgb="FF000000"/>
      </bottom>
      <diagonal/>
    </border>
    <border>
      <left/>
      <right style="thin">
        <color rgb="FF000000"/>
      </right>
      <top style="medium">
        <color rgb="FFA64C0E"/>
      </top>
      <bottom style="thin">
        <color rgb="FF000000"/>
      </bottom>
      <diagonal/>
    </border>
    <border>
      <left style="thin">
        <color rgb="FF000000"/>
      </left>
      <right/>
      <top style="medium">
        <color rgb="FFA64C0E"/>
      </top>
      <bottom style="thin">
        <color rgb="FF000000"/>
      </bottom>
      <diagonal/>
    </border>
    <border>
      <left/>
      <right/>
      <top style="medium">
        <color rgb="FFA64C0E"/>
      </top>
      <bottom style="thin">
        <color rgb="FF000000"/>
      </bottom>
      <diagonal/>
    </border>
    <border>
      <left/>
      <right style="medium">
        <color rgb="FFA64C0E"/>
      </right>
      <top style="medium">
        <color rgb="FFA64C0E"/>
      </top>
      <bottom style="thin">
        <color rgb="FF000000"/>
      </bottom>
      <diagonal/>
    </border>
    <border>
      <left style="medium">
        <color rgb="FFA64C0E"/>
      </left>
      <right/>
      <top style="thin">
        <color rgb="FF000000"/>
      </top>
      <bottom style="thin">
        <color rgb="FF000000"/>
      </bottom>
      <diagonal/>
    </border>
    <border>
      <left/>
      <right style="medium">
        <color rgb="FFA64C0E"/>
      </right>
      <top style="thin">
        <color rgb="FF000000"/>
      </top>
      <bottom style="thin">
        <color rgb="FF000000"/>
      </bottom>
      <diagonal/>
    </border>
    <border>
      <left style="medium">
        <color rgb="FFA64C0E"/>
      </left>
      <right/>
      <top style="thin">
        <color rgb="FF000000"/>
      </top>
      <bottom style="medium">
        <color rgb="FFA64C0E"/>
      </bottom>
      <diagonal/>
    </border>
    <border>
      <left/>
      <right style="thin">
        <color rgb="FF000000"/>
      </right>
      <top style="thin">
        <color rgb="FF000000"/>
      </top>
      <bottom style="medium">
        <color rgb="FFA64C0E"/>
      </bottom>
      <diagonal/>
    </border>
    <border>
      <left style="thin">
        <color rgb="FF000000"/>
      </left>
      <right/>
      <top style="thin">
        <color rgb="FF000000"/>
      </top>
      <bottom style="medium">
        <color rgb="FFA64C0E"/>
      </bottom>
      <diagonal/>
    </border>
    <border>
      <left/>
      <right/>
      <top style="thin">
        <color rgb="FF000000"/>
      </top>
      <bottom style="medium">
        <color rgb="FFA64C0E"/>
      </bottom>
      <diagonal/>
    </border>
    <border>
      <left/>
      <right style="medium">
        <color rgb="FFA64C0E"/>
      </right>
      <top style="thin">
        <color rgb="FF000000"/>
      </top>
      <bottom style="medium">
        <color rgb="FFA64C0E"/>
      </bottom>
      <diagonal/>
    </border>
    <border>
      <left/>
      <right/>
      <top style="medium">
        <color rgb="FFA64C0E"/>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medium">
        <color rgb="FFFF0000"/>
      </left>
      <right/>
      <top/>
      <bottom style="thin">
        <color rgb="FF000000"/>
      </bottom>
      <diagonal/>
    </border>
    <border>
      <left/>
      <right style="medium">
        <color rgb="FFFF0000"/>
      </right>
      <top/>
      <bottom/>
      <diagonal/>
    </border>
    <border>
      <left style="medium">
        <color rgb="FF7030A0"/>
      </left>
      <right style="thin">
        <color rgb="FF000000"/>
      </right>
      <top style="medium">
        <color rgb="FF7030A0"/>
      </top>
      <bottom/>
      <diagonal/>
    </border>
    <border>
      <left style="thin">
        <color rgb="FF000000"/>
      </left>
      <right/>
      <top style="medium">
        <color rgb="FF7030A0"/>
      </top>
      <bottom style="medium">
        <color rgb="FF7030A0"/>
      </bottom>
      <diagonal/>
    </border>
    <border>
      <left/>
      <right/>
      <top style="medium">
        <color rgb="FF7030A0"/>
      </top>
      <bottom style="medium">
        <color rgb="FF7030A0"/>
      </bottom>
      <diagonal/>
    </border>
    <border>
      <left/>
      <right/>
      <top style="medium">
        <color rgb="FF7030A0"/>
      </top>
      <bottom/>
      <diagonal/>
    </border>
    <border>
      <left/>
      <right style="medium">
        <color rgb="FF7030A0"/>
      </right>
      <top style="medium">
        <color rgb="FF7030A0"/>
      </top>
      <bottom/>
      <diagonal/>
    </border>
    <border>
      <left style="medium">
        <color rgb="FF7030A0"/>
      </left>
      <right style="thin">
        <color rgb="FF000000"/>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bottom style="thin">
        <color rgb="FF000000"/>
      </bottom>
      <diagonal/>
    </border>
    <border>
      <left/>
      <right style="medium">
        <color rgb="FF7030A0"/>
      </right>
      <top/>
      <bottom style="thin">
        <color rgb="FF000000"/>
      </bottom>
      <diagonal/>
    </border>
    <border>
      <left style="medium">
        <color rgb="FF7030A0"/>
      </left>
      <right/>
      <top style="thin">
        <color rgb="FF000000"/>
      </top>
      <bottom style="thin">
        <color rgb="FF000000"/>
      </bottom>
      <diagonal/>
    </border>
    <border>
      <left style="medium">
        <color rgb="FF7030A0"/>
      </left>
      <right/>
      <top style="thin">
        <color rgb="FF000000"/>
      </top>
      <bottom style="medium">
        <color rgb="FF7030A0"/>
      </bottom>
      <diagonal/>
    </border>
    <border>
      <left/>
      <right style="thin">
        <color rgb="FF000000"/>
      </right>
      <top style="thin">
        <color rgb="FF000000"/>
      </top>
      <bottom style="medium">
        <color rgb="FF7030A0"/>
      </bottom>
      <diagonal/>
    </border>
    <border>
      <left style="thin">
        <color rgb="FF000000"/>
      </left>
      <right/>
      <top style="thin">
        <color rgb="FF000000"/>
      </top>
      <bottom style="medium">
        <color rgb="FF7030A0"/>
      </bottom>
      <diagonal/>
    </border>
    <border>
      <left/>
      <right/>
      <top style="thin">
        <color rgb="FF000000"/>
      </top>
      <bottom style="medium">
        <color rgb="FF7030A0"/>
      </bottom>
      <diagonal/>
    </border>
    <border>
      <left/>
      <right style="medium">
        <color rgb="FF7030A0"/>
      </right>
      <top style="thin">
        <color rgb="FF000000"/>
      </top>
      <bottom style="medium">
        <color rgb="FF7030A0"/>
      </bottom>
      <diagonal/>
    </border>
    <border>
      <left style="medium">
        <color rgb="FF0070C0"/>
      </left>
      <right style="thin">
        <color rgb="FF000000"/>
      </right>
      <top style="medium">
        <color rgb="FF0070C0"/>
      </top>
      <bottom/>
      <diagonal/>
    </border>
    <border>
      <left style="thin">
        <color rgb="FF000000"/>
      </left>
      <right/>
      <top style="medium">
        <color rgb="FF0070C0"/>
      </top>
      <bottom style="medium">
        <color rgb="FF0070C0"/>
      </bottom>
      <diagonal/>
    </border>
    <border>
      <left/>
      <right/>
      <top style="medium">
        <color rgb="FF0070C0"/>
      </top>
      <bottom style="medium">
        <color rgb="FF0070C0"/>
      </bottom>
      <diagonal/>
    </border>
    <border>
      <left/>
      <right/>
      <top style="medium">
        <color rgb="FF0070C0"/>
      </top>
      <bottom/>
      <diagonal/>
    </border>
    <border>
      <left style="medium">
        <color rgb="FF0070C0"/>
      </left>
      <right style="thin">
        <color rgb="FF000000"/>
      </right>
      <top/>
      <bottom style="medium">
        <color rgb="FF0070C0"/>
      </bottom>
      <diagonal/>
    </border>
    <border>
      <left/>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thin">
        <color rgb="FF0070C0"/>
      </bottom>
      <diagonal/>
    </border>
    <border>
      <left/>
      <right/>
      <top style="thin">
        <color rgb="FF4472C4"/>
      </top>
      <bottom style="thin">
        <color rgb="FF000000"/>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style="medium">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rgb="FFE26714"/>
      </left>
      <right style="thin">
        <color rgb="FF000000"/>
      </right>
      <top style="medium">
        <color rgb="FFE26714"/>
      </top>
      <bottom style="medium">
        <color rgb="FFE26714"/>
      </bottom>
      <diagonal/>
    </border>
    <border>
      <left style="thin">
        <color rgb="FF000000"/>
      </left>
      <right/>
      <top style="medium">
        <color rgb="FFE26714"/>
      </top>
      <bottom style="medium">
        <color rgb="FFE26714"/>
      </bottom>
      <diagonal/>
    </border>
    <border>
      <left/>
      <right style="medium">
        <color rgb="FFE26714"/>
      </right>
      <top style="medium">
        <color rgb="FFE26714"/>
      </top>
      <bottom style="medium">
        <color rgb="FFE26714"/>
      </bottom>
      <diagonal/>
    </border>
    <border>
      <left style="medium">
        <color rgb="FFE26714"/>
      </left>
      <right/>
      <top style="medium">
        <color rgb="FFE26714"/>
      </top>
      <bottom style="thin">
        <color rgb="FF000000"/>
      </bottom>
      <diagonal/>
    </border>
    <border>
      <left/>
      <right style="thin">
        <color rgb="FF0070C0"/>
      </right>
      <top style="medium">
        <color rgb="FFE26714"/>
      </top>
      <bottom style="thin">
        <color rgb="FF000000"/>
      </bottom>
      <diagonal/>
    </border>
    <border>
      <left style="thin">
        <color rgb="FF0070C0"/>
      </left>
      <right/>
      <top style="medium">
        <color rgb="FFE26714"/>
      </top>
      <bottom style="thin">
        <color rgb="FF000000"/>
      </bottom>
      <diagonal/>
    </border>
    <border>
      <left/>
      <right/>
      <top style="medium">
        <color rgb="FFE26714"/>
      </top>
      <bottom style="thin">
        <color rgb="FF000000"/>
      </bottom>
      <diagonal/>
    </border>
    <border>
      <left style="medium">
        <color rgb="FFE26714"/>
      </left>
      <right/>
      <top style="thin">
        <color rgb="FF000000"/>
      </top>
      <bottom style="thin">
        <color rgb="FF000000"/>
      </bottom>
      <diagonal/>
    </border>
    <border>
      <left/>
      <right style="thin">
        <color rgb="FF0070C0"/>
      </right>
      <top/>
      <bottom style="thin">
        <color rgb="FF000000"/>
      </bottom>
      <diagonal/>
    </border>
    <border>
      <left style="thin">
        <color rgb="FF0070C0"/>
      </left>
      <right/>
      <top style="thin">
        <color rgb="FF000000"/>
      </top>
      <bottom style="thin">
        <color rgb="FF000000"/>
      </bottom>
      <diagonal/>
    </border>
    <border>
      <left/>
      <right style="medium">
        <color rgb="FFE26714"/>
      </right>
      <top/>
      <bottom style="thin">
        <color rgb="FF000000"/>
      </bottom>
      <diagonal/>
    </border>
    <border>
      <left/>
      <right style="thin">
        <color rgb="FF0070C0"/>
      </right>
      <top style="thin">
        <color rgb="FF000000"/>
      </top>
      <bottom style="thin">
        <color rgb="FF000000"/>
      </bottom>
      <diagonal/>
    </border>
    <border>
      <left style="medium">
        <color rgb="FFE26714"/>
      </left>
      <right/>
      <top/>
      <bottom/>
      <diagonal/>
    </border>
    <border>
      <left/>
      <right style="thin">
        <color rgb="FF0070C0"/>
      </right>
      <top style="thin">
        <color rgb="FF000000"/>
      </top>
      <bottom/>
      <diagonal/>
    </border>
    <border>
      <left/>
      <right/>
      <top/>
      <bottom style="thin">
        <color rgb="FF8EA9DB"/>
      </bottom>
      <diagonal/>
    </border>
    <border>
      <left/>
      <right style="medium">
        <color rgb="FFE26714"/>
      </right>
      <top/>
      <bottom style="thin">
        <color rgb="FF8EA9DB"/>
      </bottom>
      <diagonal/>
    </border>
    <border>
      <left style="medium">
        <color rgb="FFE26714"/>
      </left>
      <right/>
      <top/>
      <bottom style="thin">
        <color rgb="FF000000"/>
      </bottom>
      <diagonal/>
    </border>
    <border>
      <left style="thin">
        <color rgb="FF0070C0"/>
      </left>
      <right/>
      <top/>
      <bottom style="thin">
        <color rgb="FF000000"/>
      </bottom>
      <diagonal/>
    </border>
    <border>
      <left/>
      <right/>
      <top style="thin">
        <color rgb="FF8EA9DB"/>
      </top>
      <bottom style="thin">
        <color rgb="FF8EA9DB"/>
      </bottom>
      <diagonal/>
    </border>
    <border>
      <left/>
      <right style="medium">
        <color rgb="FFE26714"/>
      </right>
      <top style="thin">
        <color rgb="FF8EA9DB"/>
      </top>
      <bottom style="thin">
        <color rgb="FF8EA9DB"/>
      </bottom>
      <diagonal/>
    </border>
    <border>
      <left style="medium">
        <color rgb="FFE26714"/>
      </left>
      <right/>
      <top style="thin">
        <color rgb="FF000000"/>
      </top>
      <bottom style="medium">
        <color rgb="FFE26714"/>
      </bottom>
      <diagonal/>
    </border>
    <border>
      <left/>
      <right style="thin">
        <color rgb="FF0070C0"/>
      </right>
      <top/>
      <bottom style="medium">
        <color rgb="FFE26714"/>
      </bottom>
      <diagonal/>
    </border>
    <border>
      <left style="thin">
        <color rgb="FF0070C0"/>
      </left>
      <right/>
      <top style="thin">
        <color rgb="FF000000"/>
      </top>
      <bottom style="medium">
        <color rgb="FFE26714"/>
      </bottom>
      <diagonal/>
    </border>
    <border>
      <left/>
      <right/>
      <top style="thin">
        <color rgb="FF000000"/>
      </top>
      <bottom style="medium">
        <color rgb="FFE26714"/>
      </bottom>
      <diagonal/>
    </border>
    <border>
      <left/>
      <right style="thin">
        <color rgb="FF0070C0"/>
      </right>
      <top style="thin">
        <color rgb="FF000000"/>
      </top>
      <bottom style="medium">
        <color rgb="FFE26714"/>
      </bottom>
      <diagonal/>
    </border>
    <border>
      <left/>
      <right/>
      <top style="thin">
        <color rgb="FF8EA9DB"/>
      </top>
      <bottom style="medium">
        <color rgb="FFE26714"/>
      </bottom>
      <diagonal/>
    </border>
    <border>
      <left/>
      <right/>
      <top/>
      <bottom style="medium">
        <color rgb="FFE26714"/>
      </bottom>
      <diagonal/>
    </border>
    <border>
      <left/>
      <right style="medium">
        <color rgb="FFE26714"/>
      </right>
      <top style="thin">
        <color rgb="FF8EA9DB"/>
      </top>
      <bottom style="medium">
        <color rgb="FFE26714"/>
      </bottom>
      <diagonal/>
    </border>
    <border>
      <left/>
      <right/>
      <top style="medium">
        <color rgb="FFED7D31"/>
      </top>
      <bottom/>
      <diagonal/>
    </border>
    <border>
      <left style="thin">
        <color rgb="FF000000"/>
      </left>
      <right/>
      <top style="medium">
        <color rgb="FF0070C0"/>
      </top>
      <bottom style="thin">
        <color rgb="FF000000"/>
      </bottom>
      <diagonal/>
    </border>
    <border>
      <left/>
      <right/>
      <top style="medium">
        <color rgb="FF0070C0"/>
      </top>
      <bottom style="thin">
        <color rgb="FF000000"/>
      </bottom>
      <diagonal/>
    </border>
    <border>
      <left/>
      <right style="medium">
        <color rgb="FF0070C0"/>
      </right>
      <top style="medium">
        <color rgb="FF0070C0"/>
      </top>
      <bottom/>
      <diagonal/>
    </border>
    <border>
      <left style="medium">
        <color rgb="FF0070C0"/>
      </left>
      <right style="thin">
        <color rgb="FF000000"/>
      </right>
      <top/>
      <bottom style="thin">
        <color rgb="FF000000"/>
      </bottom>
      <diagonal/>
    </border>
    <border>
      <left/>
      <right style="medium">
        <color rgb="FF0070C0"/>
      </right>
      <top/>
      <bottom style="thin">
        <color rgb="FF000000"/>
      </bottom>
      <diagonal/>
    </border>
    <border>
      <left style="medium">
        <color rgb="FF0070C0"/>
      </left>
      <right/>
      <top style="thin">
        <color rgb="FF000000"/>
      </top>
      <bottom style="medium">
        <color rgb="FF0070C0"/>
      </bottom>
      <diagonal/>
    </border>
    <border>
      <left/>
      <right/>
      <top style="thin">
        <color rgb="FF000000"/>
      </top>
      <bottom style="medium">
        <color rgb="FF0070C0"/>
      </bottom>
      <diagonal/>
    </border>
    <border>
      <left style="thin">
        <color rgb="FF000000"/>
      </left>
      <right style="thin">
        <color rgb="FF000000"/>
      </right>
      <top style="thin">
        <color rgb="FF000000"/>
      </top>
      <bottom style="medium">
        <color rgb="FF0070C0"/>
      </bottom>
      <diagonal/>
    </border>
    <border>
      <left/>
      <right style="medium">
        <color rgb="FF0070C0"/>
      </right>
      <top style="thin">
        <color rgb="FF000000"/>
      </top>
      <bottom style="medium">
        <color rgb="FF0070C0"/>
      </bottom>
      <diagonal/>
    </border>
    <border>
      <left style="medium">
        <color rgb="FF0070C0"/>
      </left>
      <right/>
      <top/>
      <bottom style="thin">
        <color rgb="FF000000"/>
      </bottom>
      <diagonal/>
    </border>
    <border>
      <left style="medium">
        <color rgb="FF0070C0"/>
      </left>
      <right/>
      <top style="thin">
        <color rgb="FF000000"/>
      </top>
      <bottom style="thin">
        <color rgb="FF000000"/>
      </bottom>
      <diagonal/>
    </border>
    <border>
      <left/>
      <right style="medium">
        <color rgb="FF0070C0"/>
      </right>
      <top style="thin">
        <color rgb="FF000000"/>
      </top>
      <bottom style="thin">
        <color rgb="FF000000"/>
      </bottom>
      <diagonal/>
    </border>
    <border>
      <left style="medium">
        <color rgb="FF0070C0"/>
      </left>
      <right/>
      <top style="thin">
        <color rgb="FF000000"/>
      </top>
      <bottom/>
      <diagonal/>
    </border>
    <border>
      <left/>
      <right style="thin">
        <color rgb="FF000000"/>
      </right>
      <top style="thin">
        <color rgb="FF000000"/>
      </top>
      <bottom style="medium">
        <color rgb="FF0070C0"/>
      </bottom>
      <diagonal/>
    </border>
    <border>
      <left style="thin">
        <color rgb="FF000000"/>
      </left>
      <right/>
      <top style="thin">
        <color rgb="FF000000"/>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thin">
        <color rgb="FF000000"/>
      </bottom>
      <diagonal/>
    </border>
    <border>
      <left/>
      <right style="thin">
        <color rgb="FF000000"/>
      </right>
      <top style="medium">
        <color rgb="FF0070C0"/>
      </top>
      <bottom style="thin">
        <color rgb="FF000000"/>
      </bottom>
      <diagonal/>
    </border>
    <border>
      <left/>
      <right style="medium">
        <color rgb="FF0070C0"/>
      </right>
      <top style="medium">
        <color rgb="FF0070C0"/>
      </top>
      <bottom style="thin">
        <color rgb="FF000000"/>
      </bottom>
      <diagonal/>
    </border>
    <border>
      <left style="medium">
        <color rgb="FF0070C0"/>
      </left>
      <right/>
      <top/>
      <bottom/>
      <diagonal/>
    </border>
    <border>
      <left/>
      <right style="thin">
        <color rgb="FF000000"/>
      </right>
      <top/>
      <bottom/>
      <diagonal/>
    </border>
    <border>
      <left style="thin">
        <color rgb="FF000000"/>
      </left>
      <right/>
      <top/>
      <bottom/>
      <diagonal/>
    </border>
    <border>
      <left/>
      <right style="medium">
        <color rgb="FF0070C0"/>
      </right>
      <top/>
      <bottom/>
      <diagonal/>
    </border>
    <border>
      <left/>
      <right style="thin">
        <color rgb="FF000000"/>
      </right>
      <top/>
      <bottom style="medium">
        <color rgb="FF0070C0"/>
      </bottom>
      <diagonal/>
    </border>
    <border>
      <left style="medium">
        <color rgb="FF0070C0"/>
      </left>
      <right/>
      <top/>
      <bottom style="medium">
        <color rgb="FF0070C0"/>
      </bottom>
      <diagonal/>
    </border>
    <border>
      <left style="thin">
        <color rgb="FF000000"/>
      </left>
      <right/>
      <top/>
      <bottom style="medium">
        <color rgb="FF0070C0"/>
      </bottom>
      <diagonal/>
    </border>
    <border>
      <left style="medium">
        <color rgb="FFE26714"/>
      </left>
      <right style="thin">
        <color rgb="FF000000"/>
      </right>
      <top style="medium">
        <color rgb="FFE26714"/>
      </top>
      <bottom/>
      <diagonal/>
    </border>
    <border>
      <left/>
      <right/>
      <top style="medium">
        <color rgb="FFE26714"/>
      </top>
      <bottom/>
      <diagonal/>
    </border>
    <border>
      <left/>
      <right/>
      <top style="medium">
        <color rgb="FFE26714"/>
      </top>
      <bottom style="medium">
        <color rgb="FFE26714"/>
      </bottom>
      <diagonal/>
    </border>
    <border>
      <left/>
      <right style="medium">
        <color rgb="FFE26714"/>
      </right>
      <top style="medium">
        <color rgb="FFE26714"/>
      </top>
      <bottom/>
      <diagonal/>
    </border>
    <border>
      <left style="medium">
        <color rgb="FFE26714"/>
      </left>
      <right style="thin">
        <color rgb="FF000000"/>
      </right>
      <top/>
      <bottom style="medium">
        <color rgb="FFE26714"/>
      </bottom>
      <diagonal/>
    </border>
    <border>
      <left/>
      <right style="medium">
        <color rgb="FFE26714"/>
      </right>
      <top/>
      <bottom style="medium">
        <color rgb="FFE26714"/>
      </bottom>
      <diagonal/>
    </border>
    <border>
      <left style="medium">
        <color rgb="FFE26714"/>
      </left>
      <right/>
      <top style="medium">
        <color rgb="FFE26714"/>
      </top>
      <bottom style="medium">
        <color rgb="FFE26714"/>
      </bottom>
      <diagonal/>
    </border>
    <border>
      <left/>
      <right style="thin">
        <color rgb="FF000000"/>
      </right>
      <top style="medium">
        <color rgb="FFE26714"/>
      </top>
      <bottom style="medium">
        <color rgb="FFE26714"/>
      </bottom>
      <diagonal/>
    </border>
    <border>
      <left style="thin">
        <color rgb="FF0070C0"/>
      </left>
      <right/>
      <top style="medium">
        <color rgb="FFE26714"/>
      </top>
      <bottom style="medium">
        <color rgb="FFE26714"/>
      </bottom>
      <diagonal/>
    </border>
    <border>
      <left style="thin">
        <color rgb="FF000000"/>
      </left>
      <right/>
      <top style="medium">
        <color rgb="FF0070C0"/>
      </top>
      <bottom/>
      <diagonal/>
    </border>
    <border>
      <left style="medium">
        <color rgb="FFED7D31"/>
      </left>
      <right style="thin">
        <color rgb="FF000000"/>
      </right>
      <top style="medium">
        <color rgb="FFED7D31"/>
      </top>
      <bottom/>
      <diagonal/>
    </border>
    <border>
      <left/>
      <right style="medium">
        <color rgb="FFED7D31"/>
      </right>
      <top style="medium">
        <color rgb="FFED7D31"/>
      </top>
      <bottom/>
      <diagonal/>
    </border>
    <border>
      <left style="medium">
        <color rgb="FFED7D31"/>
      </left>
      <right style="thin">
        <color rgb="FF000000"/>
      </right>
      <top/>
      <bottom style="medium">
        <color rgb="FFED7D31"/>
      </bottom>
      <diagonal/>
    </border>
    <border>
      <left/>
      <right/>
      <top/>
      <bottom style="medium">
        <color rgb="FFED7D31"/>
      </bottom>
      <diagonal/>
    </border>
    <border>
      <left/>
      <right style="medium">
        <color rgb="FFED7D31"/>
      </right>
      <top/>
      <bottom style="medium">
        <color rgb="FFED7D31"/>
      </bottom>
      <diagonal/>
    </border>
    <border>
      <left style="medium">
        <color rgb="FFED7D31"/>
      </left>
      <right/>
      <top style="medium">
        <color rgb="FFED7D31"/>
      </top>
      <bottom style="thin">
        <color rgb="FF000000"/>
      </bottom>
      <diagonal/>
    </border>
    <border>
      <left/>
      <right style="thin">
        <color rgb="FF000000"/>
      </right>
      <top style="medium">
        <color rgb="FFED7D31"/>
      </top>
      <bottom style="thin">
        <color rgb="FF000000"/>
      </bottom>
      <diagonal/>
    </border>
    <border>
      <left style="thin">
        <color rgb="FF000000"/>
      </left>
      <right/>
      <top style="medium">
        <color rgb="FFED7D31"/>
      </top>
      <bottom style="thin">
        <color rgb="FF000000"/>
      </bottom>
      <diagonal/>
    </border>
    <border>
      <left/>
      <right/>
      <top style="medium">
        <color rgb="FFED7D31"/>
      </top>
      <bottom style="thin">
        <color rgb="FF000000"/>
      </bottom>
      <diagonal/>
    </border>
    <border>
      <left/>
      <right style="medium">
        <color rgb="FFED7D31"/>
      </right>
      <top style="medium">
        <color rgb="FFED7D31"/>
      </top>
      <bottom style="thin">
        <color rgb="FF000000"/>
      </bottom>
      <diagonal/>
    </border>
    <border>
      <left style="medium">
        <color rgb="FFED7D31"/>
      </left>
      <right/>
      <top style="thin">
        <color rgb="FF000000"/>
      </top>
      <bottom style="thin">
        <color rgb="FF000000"/>
      </bottom>
      <diagonal/>
    </border>
    <border>
      <left/>
      <right style="medium">
        <color rgb="FFED7D31"/>
      </right>
      <top style="thin">
        <color rgb="FF000000"/>
      </top>
      <bottom style="thin">
        <color rgb="FF000000"/>
      </bottom>
      <diagonal/>
    </border>
    <border>
      <left style="medium">
        <color rgb="FFED7D31"/>
      </left>
      <right/>
      <top style="thin">
        <color rgb="FF000000"/>
      </top>
      <bottom style="medium">
        <color rgb="FFED7D31"/>
      </bottom>
      <diagonal/>
    </border>
    <border>
      <left/>
      <right style="thin">
        <color rgb="FF000000"/>
      </right>
      <top style="thin">
        <color rgb="FF000000"/>
      </top>
      <bottom style="medium">
        <color rgb="FFED7D31"/>
      </bottom>
      <diagonal/>
    </border>
    <border>
      <left style="thin">
        <color rgb="FF000000"/>
      </left>
      <right/>
      <top style="thin">
        <color rgb="FF000000"/>
      </top>
      <bottom style="medium">
        <color rgb="FFED7D31"/>
      </bottom>
      <diagonal/>
    </border>
    <border>
      <left/>
      <right/>
      <top style="thin">
        <color rgb="FF000000"/>
      </top>
      <bottom style="medium">
        <color rgb="FFED7D31"/>
      </bottom>
      <diagonal/>
    </border>
    <border>
      <left/>
      <right style="medium">
        <color rgb="FFED7D31"/>
      </right>
      <top style="thin">
        <color rgb="FF000000"/>
      </top>
      <bottom style="medium">
        <color rgb="FFED7D31"/>
      </bottom>
      <diagonal/>
    </border>
    <border>
      <left style="thin">
        <color rgb="FF8EA9DB"/>
      </left>
      <right/>
      <top style="thin">
        <color rgb="FF8EA9DB"/>
      </top>
      <bottom style="thin">
        <color rgb="FF8EA9DB"/>
      </bottom>
      <diagonal/>
    </border>
    <border>
      <left style="thin">
        <color rgb="FF000000"/>
      </left>
      <right/>
      <top style="thin">
        <color rgb="FF8EA9DB"/>
      </top>
      <bottom style="thin">
        <color rgb="FF8EA9DB"/>
      </bottom>
      <diagonal/>
    </border>
    <border>
      <left/>
      <right style="thin">
        <color rgb="FF000000"/>
      </right>
      <top style="thin">
        <color rgb="FF8EA9DB"/>
      </top>
      <bottom style="thin">
        <color rgb="FF8EA9DB"/>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auto="1"/>
      </left>
      <right/>
      <top/>
      <bottom style="thin">
        <color auto="1"/>
      </bottom>
      <diagonal/>
    </border>
    <border>
      <left/>
      <right/>
      <top/>
      <bottom style="thin">
        <color auto="1"/>
      </bottom>
      <diagonal/>
    </border>
    <border>
      <left style="medium">
        <color theme="1"/>
      </left>
      <right/>
      <top/>
      <bottom style="thin">
        <color auto="1"/>
      </bottom>
      <diagonal/>
    </border>
    <border>
      <left/>
      <right style="medium">
        <color theme="1"/>
      </right>
      <top/>
      <bottom style="thin">
        <color auto="1"/>
      </bottom>
      <diagonal/>
    </border>
    <border>
      <left/>
      <right style="thin">
        <color auto="1"/>
      </right>
      <top style="medium">
        <color theme="1"/>
      </top>
      <bottom/>
      <diagonal/>
    </border>
    <border>
      <left style="thin">
        <color auto="1"/>
      </left>
      <right/>
      <top style="medium">
        <color theme="1"/>
      </top>
      <bottom/>
      <diagonal/>
    </border>
    <border>
      <left style="medium">
        <color theme="1"/>
      </left>
      <right/>
      <top/>
      <bottom style="medium">
        <color rgb="FFFF0000"/>
      </bottom>
      <diagonal/>
    </border>
    <border>
      <left/>
      <right style="thin">
        <color auto="1"/>
      </right>
      <top/>
      <bottom style="medium">
        <color rgb="FFFF0000"/>
      </bottom>
      <diagonal/>
    </border>
    <border>
      <left style="thin">
        <color auto="1"/>
      </left>
      <right/>
      <top/>
      <bottom style="medium">
        <color rgb="FFFF0000"/>
      </bottom>
      <diagonal/>
    </border>
    <border>
      <left/>
      <right style="medium">
        <color theme="1"/>
      </right>
      <top/>
      <bottom style="medium">
        <color rgb="FFFF0000"/>
      </bottom>
      <diagonal/>
    </border>
    <border>
      <left style="medium">
        <color rgb="FFFF0000"/>
      </left>
      <right/>
      <top style="medium">
        <color rgb="FFFF0000"/>
      </top>
      <bottom/>
      <diagonal/>
    </border>
    <border>
      <left style="thin">
        <color auto="1"/>
      </left>
      <right/>
      <top style="medium">
        <color rgb="FFFF0000"/>
      </top>
      <bottom/>
      <diagonal/>
    </border>
    <border>
      <left/>
      <right style="thin">
        <color auto="1"/>
      </right>
      <top/>
      <bottom/>
      <diagonal/>
    </border>
    <border>
      <left style="thin">
        <color auto="1"/>
      </left>
      <right/>
      <top/>
      <bottom/>
      <diagonal/>
    </border>
    <border>
      <left style="medium">
        <color rgb="FFFF0000"/>
      </left>
      <right/>
      <top/>
      <bottom style="medium">
        <color rgb="FFFF0000"/>
      </bottom>
      <diagonal/>
    </border>
    <border>
      <left/>
      <right style="thin">
        <color rgb="FF000000"/>
      </right>
      <top/>
      <bottom style="medium">
        <color rgb="FFFF0000"/>
      </bottom>
      <diagonal/>
    </border>
    <border>
      <left style="thin">
        <color rgb="FF000000"/>
      </left>
      <right/>
      <top style="medium">
        <color rgb="FFFF0000"/>
      </top>
      <bottom/>
      <diagonal/>
    </border>
    <border>
      <left style="thin">
        <color rgb="FF000000"/>
      </left>
      <right/>
      <top/>
      <bottom style="medium">
        <color rgb="FFFF0000"/>
      </bottom>
      <diagonal/>
    </border>
    <border>
      <left/>
      <right style="thin">
        <color rgb="FF000000"/>
      </right>
      <top style="medium">
        <color rgb="FFFF0000"/>
      </top>
      <bottom/>
      <diagonal/>
    </border>
    <border>
      <left style="medium">
        <color rgb="FFFF0000"/>
      </left>
      <right style="thin">
        <color rgb="FF000000"/>
      </right>
      <top/>
      <bottom/>
      <diagonal/>
    </border>
    <border>
      <left style="medium">
        <color theme="1"/>
      </left>
      <right/>
      <top/>
      <bottom/>
      <diagonal/>
    </border>
    <border>
      <left/>
      <right style="medium">
        <color theme="1"/>
      </right>
      <top/>
      <bottom/>
      <diagonal/>
    </border>
    <border>
      <left style="thin">
        <color rgb="FF0070C0"/>
      </left>
      <right/>
      <top style="thin">
        <color theme="1"/>
      </top>
      <bottom style="thin">
        <color rgb="FF000000"/>
      </bottom>
      <diagonal/>
    </border>
    <border>
      <left/>
      <right/>
      <top style="thin">
        <color theme="1"/>
      </top>
      <bottom style="thin">
        <color rgb="FF000000"/>
      </bottom>
      <diagonal/>
    </border>
    <border>
      <left/>
      <right style="thin">
        <color rgb="FF0070C0"/>
      </right>
      <top style="thin">
        <color theme="1"/>
      </top>
      <bottom style="thin">
        <color rgb="FF000000"/>
      </bottom>
      <diagonal/>
    </border>
    <border>
      <left/>
      <right style="medium">
        <color rgb="FFE26714"/>
      </right>
      <top style="medium">
        <color rgb="FFE26714"/>
      </top>
      <bottom style="thin">
        <color auto="1"/>
      </bottom>
      <diagonal/>
    </border>
    <border>
      <left/>
      <right/>
      <top style="medium">
        <color rgb="FFE26714"/>
      </top>
      <bottom style="thin">
        <color auto="1"/>
      </bottom>
      <diagonal/>
    </border>
    <border>
      <left style="medium">
        <color rgb="FFED7D31"/>
      </left>
      <right/>
      <top/>
      <bottom style="thin">
        <color rgb="FF000000"/>
      </bottom>
      <diagonal/>
    </border>
    <border>
      <left/>
      <right style="medium">
        <color rgb="FFED7D31"/>
      </right>
      <top/>
      <bottom style="thin">
        <color rgb="FF000000"/>
      </bottom>
      <diagonal/>
    </border>
    <border>
      <left/>
      <right/>
      <top style="thin">
        <color rgb="FF0070C0"/>
      </top>
      <bottom style="medium">
        <color rgb="FF0070C0"/>
      </bottom>
      <diagonal/>
    </border>
    <border>
      <left/>
      <right/>
      <top style="thin">
        <color theme="1"/>
      </top>
      <bottom style="thin">
        <color theme="1"/>
      </bottom>
      <diagonal/>
    </border>
    <border>
      <left/>
      <right style="medium">
        <color rgb="FF0070C0"/>
      </right>
      <top/>
      <bottom style="thin">
        <color rgb="FF0070C0"/>
      </bottom>
      <diagonal/>
    </border>
    <border>
      <left/>
      <right/>
      <top style="thin">
        <color rgb="FF4472C4"/>
      </top>
      <bottom style="medium">
        <color rgb="FF0070C0"/>
      </bottom>
      <diagonal/>
    </border>
    <border>
      <left style="thin">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right/>
      <top/>
      <bottom style="medium">
        <color theme="5"/>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top style="thin">
        <color auto="1"/>
      </top>
      <bottom style="thin">
        <color auto="1"/>
      </bottom>
      <diagonal/>
    </border>
    <border>
      <left/>
      <right style="medium">
        <color rgb="FF0070C0"/>
      </right>
      <top style="thin">
        <color rgb="FF000000"/>
      </top>
      <bottom/>
      <diagonal/>
    </border>
    <border>
      <left style="medium">
        <color rgb="FF0070C0"/>
      </left>
      <right/>
      <top style="medium">
        <color rgb="FF0070C0"/>
      </top>
      <bottom style="thin">
        <color theme="1"/>
      </bottom>
      <diagonal/>
    </border>
    <border>
      <left/>
      <right style="thin">
        <color rgb="FF000000"/>
      </right>
      <top style="medium">
        <color rgb="FF0070C0"/>
      </top>
      <bottom style="thin">
        <color theme="1"/>
      </bottom>
      <diagonal/>
    </border>
    <border>
      <left style="thin">
        <color rgb="FF000000"/>
      </left>
      <right/>
      <top style="medium">
        <color rgb="FF0070C0"/>
      </top>
      <bottom style="thin">
        <color theme="1"/>
      </bottom>
      <diagonal/>
    </border>
    <border>
      <left/>
      <right/>
      <top style="medium">
        <color rgb="FF0070C0"/>
      </top>
      <bottom style="thin">
        <color theme="1"/>
      </bottom>
      <diagonal/>
    </border>
    <border>
      <left/>
      <right style="medium">
        <color rgb="FF0070C0"/>
      </right>
      <top style="medium">
        <color rgb="FF0070C0"/>
      </top>
      <bottom style="thin">
        <color theme="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FF0000"/>
      </left>
      <right/>
      <top style="thin">
        <color rgb="FF000000"/>
      </top>
      <bottom/>
      <diagonal/>
    </border>
    <border>
      <left/>
      <right style="medium">
        <color rgb="FFFF0000"/>
      </right>
      <top style="thin">
        <color rgb="FF000000"/>
      </top>
      <bottom/>
      <diagonal/>
    </border>
    <border>
      <left/>
      <right style="medium">
        <color rgb="FFFF0000"/>
      </right>
      <top/>
      <bottom style="thin">
        <color rgb="FF000000"/>
      </bottom>
      <diagonal/>
    </border>
    <border>
      <left style="thin">
        <color rgb="FF8EA9DB"/>
      </left>
      <right/>
      <top style="thin">
        <color rgb="FF8EA9DB"/>
      </top>
      <bottom style="thin">
        <color rgb="FF000000"/>
      </bottom>
      <diagonal/>
    </border>
    <border>
      <left style="medium">
        <color rgb="FFE26714"/>
      </left>
      <right/>
      <top style="thin">
        <color rgb="FF000000"/>
      </top>
      <bottom style="thin">
        <color theme="1"/>
      </bottom>
      <diagonal/>
    </border>
    <border>
      <left style="thin">
        <color auto="1"/>
      </left>
      <right/>
      <top/>
      <bottom style="thin">
        <color auto="1"/>
      </bottom>
      <diagonal/>
    </border>
    <border>
      <left style="medium">
        <color rgb="FFFF0000"/>
      </left>
      <right/>
      <top style="thin">
        <color auto="1"/>
      </top>
      <bottom style="thin">
        <color auto="1"/>
      </bottom>
      <diagonal/>
    </border>
    <border>
      <left/>
      <right style="medium">
        <color rgb="FFFF0000"/>
      </right>
      <top style="thin">
        <color auto="1"/>
      </top>
      <bottom style="thin">
        <color auto="1"/>
      </bottom>
      <diagonal/>
    </border>
    <border>
      <left style="medium">
        <color rgb="FFFF0000"/>
      </left>
      <right/>
      <top/>
      <bottom/>
      <diagonal/>
    </border>
    <border>
      <left/>
      <right/>
      <top/>
      <bottom style="thin">
        <color theme="1"/>
      </bottom>
      <diagonal/>
    </border>
    <border>
      <left/>
      <right style="thin">
        <color rgb="FF0070C0"/>
      </right>
      <top/>
      <bottom style="thin">
        <color theme="1"/>
      </bottom>
      <diagonal/>
    </border>
    <border>
      <left style="thin">
        <color rgb="FF0070C0"/>
      </left>
      <right/>
      <top/>
      <bottom style="thin">
        <color theme="1"/>
      </bottom>
      <diagonal/>
    </border>
    <border>
      <left style="medium">
        <color rgb="FFA64C0E"/>
      </left>
      <right/>
      <top/>
      <bottom style="thin">
        <color rgb="FF000000"/>
      </bottom>
      <diagonal/>
    </border>
    <border>
      <left/>
      <right style="medium">
        <color rgb="FFA64C0E"/>
      </right>
      <top/>
      <bottom style="thin">
        <color rgb="FF000000"/>
      </bottom>
      <diagonal/>
    </border>
    <border>
      <left style="medium">
        <color rgb="FFA64C0E"/>
      </left>
      <right style="thin">
        <color rgb="FF000000"/>
      </right>
      <top style="medium">
        <color rgb="FFA64C0E"/>
      </top>
      <bottom/>
      <diagonal/>
    </border>
    <border>
      <left style="thick">
        <color rgb="FFA64C0E"/>
      </left>
      <right style="thin">
        <color rgb="FF000000"/>
      </right>
      <top style="medium">
        <color rgb="FFA64C0E"/>
      </top>
      <bottom/>
      <diagonal/>
    </border>
    <border>
      <left style="thin">
        <color rgb="FF000000"/>
      </left>
      <right/>
      <top style="medium">
        <color rgb="FFA64C0E"/>
      </top>
      <bottom style="medium">
        <color rgb="FFA64C0E"/>
      </bottom>
      <diagonal/>
    </border>
    <border>
      <left/>
      <right/>
      <top style="medium">
        <color rgb="FFA64C0E"/>
      </top>
      <bottom style="medium">
        <color rgb="FFA64C0E"/>
      </bottom>
      <diagonal/>
    </border>
    <border>
      <left/>
      <right style="medium">
        <color rgb="FFA64C0E"/>
      </right>
      <top style="medium">
        <color rgb="FFA64C0E"/>
      </top>
      <bottom/>
      <diagonal/>
    </border>
    <border>
      <left style="medium">
        <color rgb="FFA64C0E"/>
      </left>
      <right style="thin">
        <color rgb="FF000000"/>
      </right>
      <top/>
      <bottom style="medium">
        <color rgb="FFA64C0E"/>
      </bottom>
      <diagonal/>
    </border>
    <border>
      <left/>
      <right style="medium">
        <color rgb="FFA64C0E"/>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theme="1"/>
      </right>
      <top style="medium">
        <color auto="1"/>
      </top>
      <bottom/>
      <diagonal/>
    </border>
    <border>
      <left style="thin">
        <color auto="1"/>
      </left>
      <right/>
      <top style="medium">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theme="1"/>
      </right>
      <top style="thin">
        <color auto="1"/>
      </top>
      <bottom style="thin">
        <color auto="1"/>
      </bottom>
      <diagonal/>
    </border>
    <border>
      <left style="medium">
        <color theme="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theme="1"/>
      </right>
      <top style="thin">
        <color auto="1"/>
      </top>
      <bottom style="medium">
        <color auto="1"/>
      </bottom>
      <diagonal/>
    </border>
    <border>
      <left style="medium">
        <color theme="1"/>
      </left>
      <right/>
      <top style="thin">
        <color auto="1"/>
      </top>
      <bottom style="medium">
        <color auto="1"/>
      </bottom>
      <diagonal/>
    </border>
    <border>
      <left style="medium">
        <color theme="1"/>
      </left>
      <right/>
      <top style="medium">
        <color rgb="FFFF0000"/>
      </top>
      <bottom style="thin">
        <color theme="1"/>
      </bottom>
      <diagonal/>
    </border>
    <border>
      <left/>
      <right style="thin">
        <color theme="1"/>
      </right>
      <top style="medium">
        <color rgb="FFFF0000"/>
      </top>
      <bottom style="thin">
        <color theme="1"/>
      </bottom>
      <diagonal/>
    </border>
    <border>
      <left style="thin">
        <color theme="1"/>
      </left>
      <right/>
      <top style="medium">
        <color rgb="FFFF0000"/>
      </top>
      <bottom style="thin">
        <color theme="1"/>
      </bottom>
      <diagonal/>
    </border>
    <border>
      <left/>
      <right/>
      <top style="medium">
        <color rgb="FFFF0000"/>
      </top>
      <bottom style="thin">
        <color theme="1"/>
      </bottom>
      <diagonal/>
    </border>
    <border>
      <left/>
      <right style="medium">
        <color theme="1"/>
      </right>
      <top style="medium">
        <color rgb="FFFF0000"/>
      </top>
      <bottom style="thin">
        <color theme="1"/>
      </bottom>
      <diagonal/>
    </border>
    <border>
      <left style="medium">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medium">
        <color theme="1"/>
      </right>
      <top style="thin">
        <color theme="1"/>
      </top>
      <bottom style="thin">
        <color theme="1"/>
      </bottom>
      <diagonal/>
    </border>
    <border>
      <left style="thin">
        <color auto="1"/>
      </left>
      <right/>
      <top style="thin">
        <color theme="1"/>
      </top>
      <bottom style="thin">
        <color theme="1"/>
      </bottom>
      <diagonal/>
    </border>
    <border>
      <left/>
      <right style="medium">
        <color rgb="FF0070C0"/>
      </right>
      <top style="medium">
        <color rgb="FF0070C0"/>
      </top>
      <bottom style="medium">
        <color rgb="FF0070C0"/>
      </bottom>
      <diagonal/>
    </border>
    <border>
      <left style="medium">
        <color rgb="FF0070C0"/>
      </left>
      <right/>
      <top style="medium">
        <color rgb="FF0070C0"/>
      </top>
      <bottom/>
      <diagonal/>
    </border>
    <border>
      <left/>
      <right style="thin">
        <color rgb="FF000000"/>
      </right>
      <top style="medium">
        <color rgb="FF0070C0"/>
      </top>
      <bottom/>
      <diagonal/>
    </border>
    <border>
      <left style="medium">
        <color rgb="FFFF0000"/>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medium">
        <color rgb="FFFF0000"/>
      </right>
      <top style="thin">
        <color auto="1"/>
      </top>
      <bottom style="thin">
        <color rgb="FF000000"/>
      </bottom>
      <diagonal/>
    </border>
    <border>
      <left/>
      <right/>
      <top style="thin">
        <color theme="1"/>
      </top>
      <bottom/>
      <diagonal/>
    </border>
    <border>
      <left style="thin">
        <color rgb="FF0070C0"/>
      </left>
      <right/>
      <top style="thin">
        <color theme="1"/>
      </top>
      <bottom/>
      <diagonal/>
    </border>
    <border>
      <left/>
      <right style="thin">
        <color rgb="FF0070C0"/>
      </right>
      <top style="thin">
        <color theme="1"/>
      </top>
      <bottom/>
      <diagonal/>
    </border>
    <border>
      <left style="thin">
        <color rgb="FF0070C0"/>
      </left>
      <right/>
      <top style="thin">
        <color auto="1"/>
      </top>
      <bottom style="thin">
        <color rgb="FF0070C0"/>
      </bottom>
      <diagonal/>
    </border>
    <border>
      <left/>
      <right/>
      <top style="thin">
        <color auto="1"/>
      </top>
      <bottom style="thin">
        <color rgb="FF0070C0"/>
      </bottom>
      <diagonal/>
    </border>
    <border>
      <left/>
      <right style="thin">
        <color rgb="FF0070C0"/>
      </right>
      <top style="thin">
        <color auto="1"/>
      </top>
      <bottom style="thin">
        <color rgb="FF0070C0"/>
      </bottom>
      <diagonal/>
    </border>
    <border>
      <left/>
      <right style="thin">
        <color rgb="FF000000"/>
      </right>
      <top style="thin">
        <color theme="1"/>
      </top>
      <bottom style="thin">
        <color rgb="FF000000"/>
      </bottom>
      <diagonal/>
    </border>
    <border>
      <left style="thin">
        <color rgb="FF000000"/>
      </left>
      <right/>
      <top style="thin">
        <color theme="1"/>
      </top>
      <bottom style="thin">
        <color rgb="FF000000"/>
      </bottom>
      <diagonal/>
    </border>
    <border>
      <left style="thin">
        <color rgb="FF8EA9DB"/>
      </left>
      <right/>
      <top style="medium">
        <color rgb="FFFF0000"/>
      </top>
      <bottom style="medium">
        <color rgb="FFFF0000"/>
      </bottom>
      <diagonal/>
    </border>
    <border>
      <left/>
      <right style="thin">
        <color rgb="FF000000"/>
      </right>
      <top style="medium">
        <color rgb="FFFF0000"/>
      </top>
      <bottom style="medium">
        <color rgb="FFFF0000"/>
      </bottom>
      <diagonal/>
    </border>
    <border>
      <left style="thin">
        <color rgb="FF000000"/>
      </left>
      <right/>
      <top style="medium">
        <color rgb="FFED7D31"/>
      </top>
      <bottom/>
      <diagonal/>
    </border>
    <border>
      <left style="thin">
        <color rgb="FF000000"/>
      </left>
      <right/>
      <top/>
      <bottom style="medium">
        <color rgb="FFED7D31"/>
      </bottom>
      <diagonal/>
    </border>
    <border>
      <left style="medium">
        <color rgb="FFED7D31"/>
      </left>
      <right/>
      <top/>
      <bottom/>
      <diagonal/>
    </border>
    <border>
      <left/>
      <right style="medium">
        <color rgb="FFED7D31"/>
      </right>
      <top/>
      <bottom/>
      <diagonal/>
    </border>
    <border>
      <left style="medium">
        <color rgb="FF0070C0"/>
      </left>
      <right/>
      <top style="thin">
        <color auto="1"/>
      </top>
      <bottom style="thin">
        <color auto="1"/>
      </bottom>
      <diagonal/>
    </border>
    <border>
      <left/>
      <right style="medium">
        <color rgb="FF0070C0"/>
      </right>
      <top style="thin">
        <color auto="1"/>
      </top>
      <bottom style="thin">
        <color auto="1"/>
      </bottom>
      <diagonal/>
    </border>
    <border>
      <left style="medium">
        <color rgb="FF00B050"/>
      </left>
      <right/>
      <top style="thin">
        <color rgb="FF000000"/>
      </top>
      <bottom style="thin">
        <color auto="1"/>
      </bottom>
      <diagonal/>
    </border>
    <border>
      <left/>
      <right style="thin">
        <color rgb="FF000000"/>
      </right>
      <top style="thin">
        <color rgb="FF000000"/>
      </top>
      <bottom style="thin">
        <color auto="1"/>
      </bottom>
      <diagonal/>
    </border>
    <border>
      <left style="medium">
        <color rgb="FFFF0000"/>
      </left>
      <right/>
      <top style="thin">
        <color rgb="FF000000"/>
      </top>
      <bottom style="thin">
        <color auto="1"/>
      </bottom>
      <diagonal/>
    </border>
    <border>
      <left style="thin">
        <color rgb="FF8EA9DB"/>
      </left>
      <right/>
      <top style="thin">
        <color rgb="FF000000"/>
      </top>
      <bottom style="thin">
        <color auto="1"/>
      </bottom>
      <diagonal/>
    </border>
    <border>
      <left/>
      <right/>
      <top style="thin">
        <color rgb="FF000000"/>
      </top>
      <bottom style="thin">
        <color auto="1"/>
      </bottom>
      <diagonal/>
    </border>
    <border>
      <left/>
      <right style="medium">
        <color rgb="FFFF0000"/>
      </right>
      <top style="thin">
        <color rgb="FF000000"/>
      </top>
      <bottom style="thin">
        <color auto="1"/>
      </bottom>
      <diagonal/>
    </border>
    <border>
      <left style="thin">
        <color auto="1"/>
      </left>
      <right style="thin">
        <color rgb="FF000000"/>
      </right>
      <top style="thin">
        <color auto="1"/>
      </top>
      <bottom style="thin">
        <color auto="1"/>
      </bottom>
      <diagonal/>
    </border>
    <border>
      <left style="thin">
        <color rgb="FF8EA9DB"/>
      </left>
      <right/>
      <top style="thin">
        <color rgb="FF8EA9DB"/>
      </top>
      <bottom/>
      <diagonal/>
    </border>
    <border>
      <left style="thin">
        <color rgb="FF8EA9DB"/>
      </left>
      <right/>
      <top/>
      <bottom style="thin">
        <color rgb="FF8EA9DB"/>
      </bottom>
      <diagonal/>
    </border>
    <border>
      <left style="medium">
        <color rgb="FFA64C0E"/>
      </left>
      <right/>
      <top style="thin">
        <color rgb="FF000000"/>
      </top>
      <bottom style="thin">
        <color auto="1"/>
      </bottom>
      <diagonal/>
    </border>
    <border>
      <left style="thin">
        <color rgb="FF000000"/>
      </left>
      <right/>
      <top style="thin">
        <color rgb="FF000000"/>
      </top>
      <bottom style="thin">
        <color auto="1"/>
      </bottom>
      <diagonal/>
    </border>
    <border>
      <left/>
      <right style="medium">
        <color rgb="FFA64C0E"/>
      </right>
      <top style="thin">
        <color rgb="FF000000"/>
      </top>
      <bottom style="thin">
        <color auto="1"/>
      </bottom>
      <diagonal/>
    </border>
    <border>
      <left style="medium">
        <color rgb="FF00B050"/>
      </left>
      <right/>
      <top/>
      <bottom/>
      <diagonal/>
    </border>
    <border>
      <left/>
      <right style="medium">
        <color rgb="FF00B050"/>
      </right>
      <top style="thin">
        <color rgb="FF000000"/>
      </top>
      <bottom/>
      <diagonal/>
    </border>
    <border>
      <left style="medium">
        <color rgb="FF00B050"/>
      </left>
      <right/>
      <top style="thin">
        <color theme="1"/>
      </top>
      <bottom style="thin">
        <color auto="1"/>
      </bottom>
      <diagonal/>
    </border>
    <border>
      <left/>
      <right style="thin">
        <color rgb="FF000000"/>
      </right>
      <top style="thin">
        <color theme="1"/>
      </top>
      <bottom style="thin">
        <color auto="1"/>
      </bottom>
      <diagonal/>
    </border>
    <border>
      <left/>
      <right style="medium">
        <color rgb="FF00B050"/>
      </right>
      <top style="thin">
        <color theme="1"/>
      </top>
      <bottom style="thin">
        <color rgb="FF000000"/>
      </bottom>
      <diagonal/>
    </border>
    <border>
      <left/>
      <right style="thin">
        <color rgb="FF000000"/>
      </right>
      <top style="thin">
        <color auto="1"/>
      </top>
      <bottom style="thin">
        <color auto="1"/>
      </bottom>
      <diagonal/>
    </border>
    <border>
      <left style="thin">
        <color theme="1"/>
      </left>
      <right/>
      <top style="thin">
        <color theme="1"/>
      </top>
      <bottom/>
      <diagonal/>
    </border>
    <border>
      <left/>
      <right style="medium">
        <color theme="1"/>
      </right>
      <top style="thin">
        <color theme="1"/>
      </top>
      <bottom/>
      <diagonal/>
    </border>
    <border>
      <left style="medium">
        <color theme="1"/>
      </left>
      <right/>
      <top style="thin">
        <color theme="1"/>
      </top>
      <bottom style="medium">
        <color theme="1"/>
      </bottom>
      <diagonal/>
    </border>
    <border>
      <left/>
      <right/>
      <top style="thin">
        <color theme="1"/>
      </top>
      <bottom style="medium">
        <color theme="1"/>
      </bottom>
      <diagonal/>
    </border>
    <border>
      <left/>
      <right style="medium">
        <color theme="1"/>
      </right>
      <top style="thin">
        <color theme="1"/>
      </top>
      <bottom style="medium">
        <color theme="1"/>
      </bottom>
      <diagonal/>
    </border>
    <border>
      <left style="medium">
        <color rgb="FF00B050"/>
      </left>
      <right/>
      <top style="medium">
        <color rgb="FF00B050"/>
      </top>
      <bottom/>
      <diagonal/>
    </border>
    <border>
      <left/>
      <right style="thin">
        <color rgb="FF000000"/>
      </right>
      <top style="medium">
        <color rgb="FF00B050"/>
      </top>
      <bottom/>
      <diagonal/>
    </border>
    <border>
      <left style="thin">
        <color rgb="FF000000"/>
      </left>
      <right/>
      <top style="medium">
        <color rgb="FF00B050"/>
      </top>
      <bottom/>
      <diagonal/>
    </border>
    <border>
      <left style="thin">
        <color auto="1"/>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thin">
        <color auto="1"/>
      </left>
      <right/>
      <top style="medium">
        <color rgb="FF0070C0"/>
      </top>
      <bottom/>
      <diagonal/>
    </border>
    <border>
      <left style="thin">
        <color auto="1"/>
      </left>
      <right/>
      <top/>
      <bottom style="medium">
        <color rgb="FF0070C0"/>
      </bottom>
      <diagonal/>
    </border>
    <border>
      <left style="thin">
        <color auto="1"/>
      </left>
      <right/>
      <top style="medium">
        <color rgb="FF0070C0"/>
      </top>
      <bottom style="medium">
        <color rgb="FF0070C0"/>
      </bottom>
      <diagonal/>
    </border>
    <border>
      <left style="medium">
        <color theme="5"/>
      </left>
      <right style="thin">
        <color rgb="FF000000"/>
      </right>
      <top style="medium">
        <color theme="5"/>
      </top>
      <bottom/>
      <diagonal/>
    </border>
    <border>
      <left style="medium">
        <color rgb="FF0070C0"/>
      </left>
      <right style="thin">
        <color rgb="FF000000"/>
      </right>
      <top style="medium">
        <color theme="5"/>
      </top>
      <bottom/>
      <diagonal/>
    </border>
    <border>
      <left style="thin">
        <color rgb="FF000000"/>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style="medium">
        <color rgb="FF0070C0"/>
      </top>
      <bottom style="thin">
        <color rgb="FF0070C0"/>
      </bottom>
      <diagonal/>
    </border>
    <border>
      <left/>
      <right style="medium">
        <color theme="5"/>
      </right>
      <top style="medium">
        <color rgb="FF0070C0"/>
      </top>
      <bottom style="thin">
        <color rgb="FF0070C0"/>
      </bottom>
      <diagonal/>
    </border>
    <border>
      <left style="medium">
        <color theme="5"/>
      </left>
      <right/>
      <top/>
      <bottom style="thin">
        <color theme="1"/>
      </bottom>
      <diagonal/>
    </border>
    <border>
      <left/>
      <right style="medium">
        <color theme="5"/>
      </right>
      <top/>
      <bottom style="thin">
        <color theme="1"/>
      </bottom>
      <diagonal/>
    </border>
    <border>
      <left style="medium">
        <color theme="5"/>
      </left>
      <right/>
      <top style="thin">
        <color theme="1"/>
      </top>
      <bottom/>
      <diagonal/>
    </border>
    <border>
      <left/>
      <right style="medium">
        <color theme="5"/>
      </right>
      <top style="thin">
        <color theme="1"/>
      </top>
      <bottom/>
      <diagonal/>
    </border>
    <border>
      <left style="medium">
        <color theme="5"/>
      </left>
      <right/>
      <top style="thin">
        <color auto="1"/>
      </top>
      <bottom style="thin">
        <color rgb="FF0070C0"/>
      </bottom>
      <diagonal/>
    </border>
    <border>
      <left/>
      <right style="medium">
        <color theme="5"/>
      </right>
      <top style="thin">
        <color auto="1"/>
      </top>
      <bottom style="thin">
        <color rgb="FF0070C0"/>
      </bottom>
      <diagonal/>
    </border>
    <border>
      <left style="medium">
        <color theme="5"/>
      </left>
      <right/>
      <top style="thin">
        <color rgb="FF0070C0"/>
      </top>
      <bottom style="thin">
        <color rgb="FF0070C0"/>
      </bottom>
      <diagonal/>
    </border>
    <border>
      <left/>
      <right style="medium">
        <color theme="5"/>
      </right>
      <top style="thin">
        <color rgb="FF0070C0"/>
      </top>
      <bottom style="thin">
        <color rgb="FF0070C0"/>
      </bottom>
      <diagonal/>
    </border>
    <border>
      <left style="medium">
        <color theme="5"/>
      </left>
      <right/>
      <top style="thin">
        <color rgb="FF0070C0"/>
      </top>
      <bottom style="medium">
        <color rgb="FF0070C0"/>
      </bottom>
      <diagonal/>
    </border>
    <border>
      <left/>
      <right style="medium">
        <color theme="5"/>
      </right>
      <top style="thin">
        <color rgb="FF0070C0"/>
      </top>
      <bottom style="medium">
        <color rgb="FF0070C0"/>
      </bottom>
      <diagonal/>
    </border>
    <border>
      <left style="medium">
        <color theme="5"/>
      </left>
      <right/>
      <top/>
      <bottom style="thin">
        <color rgb="FF0070C0"/>
      </bottom>
      <diagonal/>
    </border>
    <border>
      <left/>
      <right style="medium">
        <color theme="5"/>
      </right>
      <top/>
      <bottom style="thin">
        <color rgb="FF0070C0"/>
      </bottom>
      <diagonal/>
    </border>
    <border>
      <left/>
      <right/>
      <top style="thin">
        <color rgb="FF0070C0"/>
      </top>
      <bottom style="medium">
        <color theme="5"/>
      </bottom>
      <diagonal/>
    </border>
    <border>
      <left style="medium">
        <color theme="5"/>
      </left>
      <right/>
      <top style="medium">
        <color theme="5"/>
      </top>
      <bottom style="thin">
        <color theme="1"/>
      </bottom>
      <diagonal/>
    </border>
    <border>
      <left/>
      <right style="thin">
        <color rgb="FF0070C0"/>
      </right>
      <top style="medium">
        <color theme="5"/>
      </top>
      <bottom style="thin">
        <color theme="1"/>
      </bottom>
      <diagonal/>
    </border>
    <border>
      <left style="thin">
        <color rgb="FF0070C0"/>
      </left>
      <right/>
      <top style="medium">
        <color theme="5"/>
      </top>
      <bottom style="thin">
        <color theme="1"/>
      </bottom>
      <diagonal/>
    </border>
    <border>
      <left/>
      <right/>
      <top style="medium">
        <color theme="5"/>
      </top>
      <bottom style="thin">
        <color theme="1"/>
      </bottom>
      <diagonal/>
    </border>
    <border>
      <left/>
      <right style="medium">
        <color theme="5"/>
      </right>
      <top style="medium">
        <color theme="5"/>
      </top>
      <bottom style="thin">
        <color theme="1"/>
      </bottom>
      <diagonal/>
    </border>
    <border>
      <left style="medium">
        <color theme="5"/>
      </left>
      <right style="thin">
        <color rgb="FF000000"/>
      </right>
      <top/>
      <bottom/>
      <diagonal/>
    </border>
    <border>
      <left style="medium">
        <color rgb="FF0070C0"/>
      </left>
      <right style="thin">
        <color rgb="FF000000"/>
      </right>
      <top/>
      <bottom/>
      <diagonal/>
    </border>
    <border>
      <left/>
      <right style="medium">
        <color theme="5"/>
      </right>
      <top/>
      <bottom/>
      <diagonal/>
    </border>
    <border>
      <left/>
      <right/>
      <top style="medium">
        <color theme="5"/>
      </top>
      <bottom style="medium">
        <color rgb="FF0070C0"/>
      </bottom>
      <diagonal/>
    </border>
    <border>
      <left/>
      <right style="medium">
        <color theme="5"/>
      </right>
      <top style="medium">
        <color theme="5"/>
      </top>
      <bottom style="medium">
        <color rgb="FF0070C0"/>
      </bottom>
      <diagonal/>
    </border>
    <border>
      <left style="medium">
        <color theme="5"/>
      </left>
      <right/>
      <top style="medium">
        <color theme="5"/>
      </top>
      <bottom/>
      <diagonal/>
    </border>
    <border>
      <left style="medium">
        <color theme="5"/>
      </left>
      <right/>
      <top style="medium">
        <color theme="5"/>
      </top>
      <bottom style="thin">
        <color rgb="FF0070C0"/>
      </bottom>
      <diagonal/>
    </border>
    <border>
      <left/>
      <right/>
      <top style="medium">
        <color theme="5"/>
      </top>
      <bottom style="thin">
        <color rgb="FF0070C0"/>
      </bottom>
      <diagonal/>
    </border>
    <border>
      <left style="medium">
        <color theme="5"/>
      </left>
      <right/>
      <top style="thin">
        <color rgb="FF0070C0"/>
      </top>
      <bottom style="medium">
        <color theme="5"/>
      </bottom>
      <diagonal/>
    </border>
    <border>
      <left/>
      <right style="thin">
        <color rgb="FF0070C0"/>
      </right>
      <top style="thin">
        <color rgb="FF0070C0"/>
      </top>
      <bottom style="medium">
        <color theme="5"/>
      </bottom>
      <diagonal/>
    </border>
    <border>
      <left style="thin">
        <color rgb="FF0070C0"/>
      </left>
      <right/>
      <top style="thin">
        <color rgb="FF0070C0"/>
      </top>
      <bottom style="medium">
        <color theme="5"/>
      </bottom>
      <diagonal/>
    </border>
    <border>
      <left/>
      <right/>
      <top style="thin">
        <color rgb="FF000000"/>
      </top>
      <bottom style="medium">
        <color theme="5"/>
      </bottom>
      <diagonal/>
    </border>
    <border>
      <left/>
      <right style="medium">
        <color theme="5"/>
      </right>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right/>
      <top style="thin">
        <color rgb="FF0070C0"/>
      </top>
      <bottom/>
      <diagonal/>
    </border>
    <border>
      <left style="medium">
        <color theme="5"/>
      </left>
      <right/>
      <top style="thin">
        <color auto="1"/>
      </top>
      <bottom style="thin">
        <color theme="1"/>
      </bottom>
      <diagonal/>
    </border>
    <border>
      <left/>
      <right/>
      <top style="thin">
        <color auto="1"/>
      </top>
      <bottom style="thin">
        <color theme="1"/>
      </bottom>
      <diagonal/>
    </border>
    <border>
      <left style="thin">
        <color rgb="FF000000"/>
      </left>
      <right/>
      <top style="thin">
        <color auto="1"/>
      </top>
      <bottom style="thin">
        <color theme="1"/>
      </bottom>
      <diagonal/>
    </border>
    <border>
      <left/>
      <right style="thin">
        <color rgb="FF0070C0"/>
      </right>
      <top style="thin">
        <color auto="1"/>
      </top>
      <bottom style="thin">
        <color theme="1"/>
      </bottom>
      <diagonal/>
    </border>
    <border>
      <left style="thin">
        <color rgb="FF0070C0"/>
      </left>
      <right/>
      <top style="thin">
        <color auto="1"/>
      </top>
      <bottom style="thin">
        <color theme="1"/>
      </bottom>
      <diagonal/>
    </border>
    <border>
      <left/>
      <right style="medium">
        <color theme="5"/>
      </right>
      <top style="thin">
        <color auto="1"/>
      </top>
      <bottom style="thin">
        <color theme="1"/>
      </bottom>
      <diagonal/>
    </border>
    <border>
      <left style="medium">
        <color theme="5"/>
      </left>
      <right/>
      <top/>
      <bottom/>
      <diagonal/>
    </border>
    <border>
      <left/>
      <right style="thin">
        <color rgb="FF0070C0"/>
      </right>
      <top/>
      <bottom/>
      <diagonal/>
    </border>
    <border>
      <left style="thin">
        <color rgb="FF0070C0"/>
      </left>
      <right/>
      <top/>
      <bottom/>
      <diagonal/>
    </border>
    <border>
      <left style="medium">
        <color theme="5"/>
      </left>
      <right/>
      <top style="thin">
        <color theme="1"/>
      </top>
      <bottom style="thin">
        <color theme="1"/>
      </bottom>
      <diagonal/>
    </border>
    <border>
      <left/>
      <right style="thin">
        <color rgb="FF0070C0"/>
      </right>
      <top style="thin">
        <color theme="1"/>
      </top>
      <bottom style="thin">
        <color theme="1"/>
      </bottom>
      <diagonal/>
    </border>
    <border>
      <left style="thin">
        <color rgb="FF0070C0"/>
      </left>
      <right/>
      <top style="thin">
        <color theme="1"/>
      </top>
      <bottom style="thin">
        <color theme="1"/>
      </bottom>
      <diagonal/>
    </border>
    <border>
      <left/>
      <right style="medium">
        <color theme="5"/>
      </right>
      <top style="thin">
        <color theme="1"/>
      </top>
      <bottom style="thin">
        <color theme="1"/>
      </bottom>
      <diagonal/>
    </border>
    <border>
      <left style="medium">
        <color rgb="FFFF0000"/>
      </left>
      <right/>
      <top style="medium">
        <color rgb="FFFF0000"/>
      </top>
      <bottom style="thin">
        <color auto="1"/>
      </bottom>
      <diagonal/>
    </border>
    <border>
      <left/>
      <right style="thin">
        <color auto="1"/>
      </right>
      <top style="medium">
        <color rgb="FFFF0000"/>
      </top>
      <bottom style="thin">
        <color auto="1"/>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right/>
      <top style="thin">
        <color auto="1"/>
      </top>
      <bottom style="medium">
        <color rgb="FFFF0000"/>
      </bottom>
      <diagonal/>
    </border>
    <border>
      <left style="thin">
        <color auto="1"/>
      </left>
      <right/>
      <top style="thin">
        <color auto="1"/>
      </top>
      <bottom style="medium">
        <color rgb="FFFF0000"/>
      </bottom>
      <diagonal/>
    </border>
    <border>
      <left/>
      <right style="medium">
        <color auto="1"/>
      </right>
      <top style="thin">
        <color auto="1"/>
      </top>
      <bottom style="medium">
        <color rgb="FFFF0000"/>
      </bottom>
      <diagonal/>
    </border>
    <border>
      <left style="medium">
        <color theme="5"/>
      </left>
      <right/>
      <top style="thin">
        <color auto="1"/>
      </top>
      <bottom style="medium">
        <color theme="5"/>
      </bottom>
      <diagonal/>
    </border>
    <border>
      <left/>
      <right style="thin">
        <color auto="1"/>
      </right>
      <top style="thin">
        <color auto="1"/>
      </top>
      <bottom style="medium">
        <color rgb="FFFF0000"/>
      </bottom>
      <diagonal/>
    </border>
    <border>
      <left style="thin">
        <color rgb="FF0070C0"/>
      </left>
      <right/>
      <top/>
      <bottom style="thin">
        <color auto="1"/>
      </bottom>
      <diagonal/>
    </border>
    <border>
      <left/>
      <right style="medium">
        <color auto="1"/>
      </right>
      <top/>
      <bottom style="thin">
        <color auto="1"/>
      </bottom>
      <diagonal/>
    </border>
    <border>
      <left style="thin">
        <color rgb="FF0070C0"/>
      </left>
      <right/>
      <top style="thin">
        <color auto="1"/>
      </top>
      <bottom style="thin">
        <color auto="1"/>
      </bottom>
      <diagonal/>
    </border>
    <border>
      <left/>
      <right/>
      <top style="thin">
        <color auto="1"/>
      </top>
      <bottom style="medium">
        <color theme="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theme="5"/>
      </left>
      <right/>
      <top style="thin">
        <color rgb="FF0070C0"/>
      </top>
      <bottom/>
      <diagonal/>
    </border>
    <border>
      <left style="thin">
        <color rgb="FF0070C0"/>
      </left>
      <right/>
      <top style="thin">
        <color rgb="FF0070C0"/>
      </top>
      <bottom/>
      <diagonal/>
    </border>
    <border>
      <left/>
      <right style="thin">
        <color rgb="FF0070C0"/>
      </right>
      <top style="thin">
        <color rgb="FF0070C0"/>
      </top>
      <bottom/>
      <diagonal/>
    </border>
    <border>
      <left/>
      <right style="medium">
        <color rgb="FF0070C0"/>
      </right>
      <top style="thin">
        <color rgb="FF0070C0"/>
      </top>
      <bottom/>
      <diagonal/>
    </border>
    <border>
      <left/>
      <right style="medium">
        <color theme="5"/>
      </right>
      <top style="thin">
        <color rgb="FF0070C0"/>
      </top>
      <bottom/>
      <diagonal/>
    </border>
    <border>
      <left/>
      <right/>
      <top style="thin">
        <color auto="1"/>
      </top>
      <bottom style="medium">
        <color theme="5"/>
      </bottom>
      <diagonal/>
    </border>
    <border>
      <left style="thin">
        <color rgb="FF0070C0"/>
      </left>
      <right/>
      <top style="thin">
        <color auto="1"/>
      </top>
      <bottom style="medium">
        <color theme="5"/>
      </bottom>
      <diagonal/>
    </border>
    <border>
      <left/>
      <right style="thin">
        <color rgb="FF0070C0"/>
      </right>
      <top style="thin">
        <color auto="1"/>
      </top>
      <bottom style="medium">
        <color theme="5"/>
      </bottom>
      <diagonal/>
    </border>
    <border>
      <left/>
      <right style="medium">
        <color theme="5"/>
      </right>
      <top style="thin">
        <color auto="1"/>
      </top>
      <bottom style="medium">
        <color theme="5"/>
      </bottom>
      <diagonal/>
    </border>
    <border>
      <left style="thin">
        <color theme="1"/>
      </left>
      <right/>
      <top style="medium">
        <color rgb="FFE26714"/>
      </top>
      <bottom style="thin">
        <color rgb="FF000000"/>
      </bottom>
      <diagonal/>
    </border>
    <border>
      <left style="thin">
        <color theme="1"/>
      </left>
      <right/>
      <top style="thin">
        <color rgb="FF000000"/>
      </top>
      <bottom style="thin">
        <color rgb="FF000000"/>
      </bottom>
      <diagonal/>
    </border>
    <border>
      <left style="thin">
        <color theme="1"/>
      </left>
      <right/>
      <top style="thin">
        <color rgb="FF8EA9DB"/>
      </top>
      <bottom style="thin">
        <color rgb="FF8EA9DB"/>
      </bottom>
      <diagonal/>
    </border>
    <border>
      <left style="thin">
        <color theme="1"/>
      </left>
      <right/>
      <top style="thin">
        <color theme="1"/>
      </top>
      <bottom style="thin">
        <color rgb="FF000000"/>
      </bottom>
      <diagonal/>
    </border>
    <border>
      <left style="medium">
        <color rgb="FF0070C0"/>
      </left>
      <right/>
      <top style="thin">
        <color auto="1"/>
      </top>
      <bottom style="medium">
        <color rgb="FF0070C0"/>
      </bottom>
      <diagonal/>
    </border>
    <border>
      <left/>
      <right style="thin">
        <color rgb="FF000000"/>
      </right>
      <top style="thin">
        <color auto="1"/>
      </top>
      <bottom style="medium">
        <color rgb="FF0070C0"/>
      </bottom>
      <diagonal/>
    </border>
    <border>
      <left style="thin">
        <color rgb="FF000000"/>
      </left>
      <right/>
      <top style="thin">
        <color auto="1"/>
      </top>
      <bottom style="medium">
        <color rgb="FF0070C0"/>
      </bottom>
      <diagonal/>
    </border>
    <border>
      <left/>
      <right/>
      <top style="thin">
        <color auto="1"/>
      </top>
      <bottom style="medium">
        <color rgb="FF0070C0"/>
      </bottom>
      <diagonal/>
    </border>
    <border>
      <left/>
      <right style="medium">
        <color rgb="FF0070C0"/>
      </right>
      <top style="thin">
        <color auto="1"/>
      </top>
      <bottom style="medium">
        <color rgb="FF0070C0"/>
      </bottom>
      <diagonal/>
    </border>
  </borders>
  <cellStyleXfs count="16">
    <xf numFmtId="0" fontId="0" fillId="0" borderId="0"/>
    <xf numFmtId="169" fontId="7" fillId="0" borderId="0" applyFont="0" applyFill="0" applyBorder="0" applyAlignment="0" applyProtection="0"/>
    <xf numFmtId="166"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8" fillId="0" borderId="0" applyNumberFormat="0" applyAlignment="0" applyProtection="0"/>
    <xf numFmtId="0" fontId="8" fillId="0" borderId="0" applyNumberFormat="0" applyFill="0" applyBorder="0" applyAlignment="0" applyProtection="0"/>
    <xf numFmtId="0" fontId="7" fillId="2" borderId="0" applyNumberFormat="0" applyFont="0" applyBorder="0" applyAlignment="0" applyProtection="0"/>
    <xf numFmtId="0" fontId="7" fillId="0" borderId="0" applyNumberFormat="0" applyFont="0" applyFill="0" applyBorder="0" applyAlignment="0" applyProtection="0"/>
    <xf numFmtId="0" fontId="7" fillId="0" borderId="1" applyNumberFormat="0" applyFont="0" applyFill="0" applyAlignment="0" applyProtection="0"/>
    <xf numFmtId="0" fontId="9" fillId="0" borderId="0" applyNumberFormat="0" applyFill="0" applyBorder="0" applyAlignment="0" applyProtection="0"/>
    <xf numFmtId="0" fontId="7" fillId="3" borderId="0" applyNumberFormat="0" applyFont="0" applyBorder="0" applyAlignment="0" applyProtection="0"/>
    <xf numFmtId="0" fontId="9" fillId="3" borderId="0" applyNumberFormat="0" applyBorder="0" applyAlignment="0" applyProtection="0"/>
    <xf numFmtId="0" fontId="10" fillId="0" borderId="0" applyNumberFormat="0" applyBorder="0" applyProtection="0"/>
    <xf numFmtId="0" fontId="10" fillId="0" borderId="0" applyNumberFormat="0" applyBorder="0" applyProtection="0"/>
    <xf numFmtId="0" fontId="10" fillId="0" borderId="0" applyNumberFormat="0" applyBorder="0" applyProtection="0"/>
  </cellStyleXfs>
  <cellXfs count="1320">
    <xf numFmtId="0" fontId="0" fillId="0" borderId="0" xfId="0"/>
    <xf numFmtId="0" fontId="11"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8" fillId="0" borderId="0" xfId="0" applyFont="1" applyAlignment="1">
      <alignment vertical="center"/>
    </xf>
    <xf numFmtId="0" fontId="8" fillId="4" borderId="0" xfId="0" applyFont="1" applyFill="1" applyAlignment="1">
      <alignment vertical="center"/>
    </xf>
    <xf numFmtId="0" fontId="0" fillId="4" borderId="0" xfId="0" applyFont="1" applyFill="1" applyAlignment="1">
      <alignment vertical="center"/>
    </xf>
    <xf numFmtId="0" fontId="13" fillId="0" borderId="0" xfId="0" applyFont="1" applyAlignment="1">
      <alignment horizontal="left" vertical="center"/>
    </xf>
    <xf numFmtId="0" fontId="14" fillId="0" borderId="0" xfId="0" applyFont="1" applyFill="1" applyAlignment="1">
      <alignment vertical="center"/>
    </xf>
    <xf numFmtId="0" fontId="8" fillId="0" borderId="0" xfId="0" applyFont="1" applyFill="1" applyAlignment="1">
      <alignment vertical="center"/>
    </xf>
    <xf numFmtId="2" fontId="8" fillId="0" borderId="0" xfId="0" applyNumberFormat="1" applyFont="1" applyFill="1" applyAlignment="1">
      <alignment vertical="center"/>
    </xf>
    <xf numFmtId="0" fontId="8" fillId="0" borderId="0" xfId="0" applyFont="1" applyFill="1" applyAlignment="1">
      <alignment horizontal="center" vertical="center"/>
    </xf>
    <xf numFmtId="0" fontId="15" fillId="0" borderId="0" xfId="0" applyFont="1" applyAlignment="1">
      <alignment horizontal="left" vertical="center"/>
    </xf>
    <xf numFmtId="0" fontId="16" fillId="0" borderId="0" xfId="0" applyFont="1" applyFill="1" applyAlignment="1">
      <alignment vertical="center" wrapText="1"/>
    </xf>
    <xf numFmtId="0" fontId="8" fillId="0" borderId="0" xfId="0" applyFont="1" applyFill="1" applyAlignment="1">
      <alignment horizontal="right" vertical="center"/>
    </xf>
    <xf numFmtId="0" fontId="8" fillId="0" borderId="0" xfId="1" applyNumberFormat="1" applyFont="1" applyFill="1" applyAlignment="1">
      <alignment horizontal="right" vertical="center"/>
    </xf>
    <xf numFmtId="9" fontId="8" fillId="0" borderId="0" xfId="3" applyFont="1" applyFill="1" applyAlignment="1">
      <alignment vertical="center"/>
    </xf>
    <xf numFmtId="0" fontId="17" fillId="0" borderId="2"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vertical="center"/>
    </xf>
    <xf numFmtId="0" fontId="19" fillId="0" borderId="2" xfId="0" applyFont="1" applyBorder="1" applyAlignment="1">
      <alignment horizontal="left" vertical="center"/>
    </xf>
    <xf numFmtId="0" fontId="19" fillId="0" borderId="2" xfId="0" applyFont="1" applyBorder="1" applyAlignment="1">
      <alignment vertical="center"/>
    </xf>
    <xf numFmtId="0" fontId="19" fillId="0" borderId="2" xfId="0" applyFont="1" applyBorder="1" applyAlignment="1">
      <alignment horizontal="center" vertical="center"/>
    </xf>
    <xf numFmtId="0" fontId="20" fillId="0" borderId="0" xfId="0" applyFont="1" applyFill="1" applyAlignment="1">
      <alignment vertical="center"/>
    </xf>
    <xf numFmtId="2" fontId="8" fillId="0" borderId="0" xfId="0" applyNumberFormat="1" applyFont="1" applyFill="1" applyAlignment="1">
      <alignment horizontal="right" vertical="center"/>
    </xf>
    <xf numFmtId="0" fontId="17" fillId="0" borderId="3" xfId="0" applyFont="1" applyBorder="1" applyAlignment="1">
      <alignment horizontal="left" vertical="center"/>
    </xf>
    <xf numFmtId="0" fontId="18" fillId="0" borderId="3" xfId="0" applyFont="1" applyBorder="1" applyAlignment="1">
      <alignment vertical="center"/>
    </xf>
    <xf numFmtId="0" fontId="17" fillId="0" borderId="3" xfId="0" applyFont="1" applyBorder="1" applyAlignment="1">
      <alignment horizontal="right" vertical="center"/>
    </xf>
    <xf numFmtId="9" fontId="8" fillId="0" borderId="0" xfId="3" applyFont="1" applyFill="1" applyAlignment="1">
      <alignment horizontal="right" vertical="center"/>
    </xf>
    <xf numFmtId="167" fontId="8" fillId="0" borderId="0" xfId="1" applyNumberFormat="1" applyFont="1" applyFill="1" applyAlignment="1">
      <alignment vertical="center"/>
    </xf>
    <xf numFmtId="0" fontId="21" fillId="0" borderId="0" xfId="0" applyFont="1" applyAlignment="1">
      <alignment vertical="center"/>
    </xf>
    <xf numFmtId="0" fontId="22" fillId="0" borderId="3" xfId="0" applyFont="1" applyBorder="1" applyAlignment="1">
      <alignment horizontal="left" vertical="center"/>
    </xf>
    <xf numFmtId="0" fontId="22" fillId="0" borderId="3" xfId="0" applyFont="1" applyBorder="1" applyAlignment="1">
      <alignment horizontal="center" vertical="center"/>
    </xf>
    <xf numFmtId="0" fontId="23" fillId="0" borderId="3" xfId="0" applyFont="1" applyBorder="1" applyAlignment="1">
      <alignment horizontal="center" vertical="center"/>
    </xf>
    <xf numFmtId="0" fontId="22" fillId="0" borderId="3" xfId="0" applyFont="1" applyBorder="1" applyAlignment="1">
      <alignment horizontal="right" vertical="center"/>
    </xf>
    <xf numFmtId="0" fontId="16" fillId="0" borderId="0" xfId="0" applyFont="1" applyFill="1" applyAlignment="1">
      <alignment vertical="center"/>
    </xf>
    <xf numFmtId="167" fontId="8" fillId="0" borderId="0" xfId="1" applyNumberFormat="1" applyFont="1" applyFill="1" applyAlignment="1">
      <alignment horizontal="right" vertical="center"/>
    </xf>
    <xf numFmtId="0" fontId="24" fillId="0" borderId="3" xfId="0" applyFont="1" applyBorder="1" applyAlignment="1">
      <alignment horizontal="left" vertical="center"/>
    </xf>
    <xf numFmtId="0" fontId="24" fillId="0" borderId="3" xfId="0" applyFont="1" applyBorder="1" applyAlignment="1">
      <alignment horizontal="center" vertical="center"/>
    </xf>
    <xf numFmtId="0" fontId="25" fillId="0" borderId="0" xfId="0" applyFont="1" applyFill="1" applyAlignment="1">
      <alignment horizontal="center" vertical="center"/>
    </xf>
    <xf numFmtId="167" fontId="8" fillId="0" borderId="0" xfId="0" applyNumberFormat="1" applyFont="1" applyFill="1" applyAlignment="1">
      <alignment vertical="center"/>
    </xf>
    <xf numFmtId="0" fontId="26" fillId="0" borderId="4" xfId="0" applyFont="1" applyBorder="1" applyAlignment="1">
      <alignment horizontal="center" vertical="center"/>
    </xf>
    <xf numFmtId="0" fontId="27" fillId="0" borderId="3" xfId="0" applyFont="1" applyBorder="1" applyAlignment="1">
      <alignment horizontal="left" vertical="center"/>
    </xf>
    <xf numFmtId="0" fontId="26" fillId="0" borderId="3" xfId="0" applyFont="1" applyBorder="1" applyAlignment="1">
      <alignment horizontal="center" vertical="center"/>
    </xf>
    <xf numFmtId="0" fontId="25" fillId="0" borderId="0" xfId="0" applyFont="1" applyFill="1" applyAlignment="1">
      <alignment horizontal="left" vertical="center"/>
    </xf>
    <xf numFmtId="169" fontId="8" fillId="0" borderId="0" xfId="0" applyNumberFormat="1" applyFont="1" applyFill="1" applyAlignment="1">
      <alignment vertical="center"/>
    </xf>
    <xf numFmtId="0" fontId="18" fillId="0" borderId="1" xfId="0" applyFont="1" applyBorder="1" applyAlignment="1">
      <alignment vertical="center"/>
    </xf>
    <xf numFmtId="0" fontId="24" fillId="0" borderId="1" xfId="0" applyFont="1" applyBorder="1" applyAlignment="1">
      <alignment vertical="center"/>
    </xf>
    <xf numFmtId="0" fontId="28" fillId="0" borderId="1" xfId="0" applyFont="1" applyBorder="1" applyAlignment="1">
      <alignment vertical="center"/>
    </xf>
    <xf numFmtId="0" fontId="29" fillId="0" borderId="0" xfId="0" applyFont="1" applyFill="1" applyAlignment="1">
      <alignment vertical="center"/>
    </xf>
    <xf numFmtId="0" fontId="30" fillId="0" borderId="0" xfId="0" applyFont="1" applyAlignment="1">
      <alignment horizontal="right" vertical="center"/>
    </xf>
    <xf numFmtId="0" fontId="24" fillId="0" borderId="0" xfId="0" applyFont="1" applyAlignment="1">
      <alignment horizontal="left" vertical="center"/>
    </xf>
    <xf numFmtId="166" fontId="30" fillId="0" borderId="0" xfId="2" applyFont="1" applyAlignment="1">
      <alignment vertical="center"/>
    </xf>
    <xf numFmtId="0" fontId="28" fillId="0" borderId="0" xfId="0" applyFont="1" applyAlignment="1">
      <alignment vertical="center"/>
    </xf>
    <xf numFmtId="1" fontId="8" fillId="0" borderId="0" xfId="0" applyNumberFormat="1" applyFont="1" applyFill="1" applyAlignme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9" fillId="0" borderId="0" xfId="0" applyFont="1" applyAlignment="1">
      <alignment horizontal="center" vertical="center"/>
    </xf>
    <xf numFmtId="0" fontId="0" fillId="0" borderId="0" xfId="0" applyAlignment="1">
      <alignment horizontal="left" vertical="center"/>
    </xf>
    <xf numFmtId="0" fontId="32" fillId="0" borderId="0" xfId="0" applyFont="1" applyAlignment="1">
      <alignment horizontal="center" vertical="center"/>
    </xf>
    <xf numFmtId="9" fontId="33" fillId="0" borderId="6" xfId="3" applyFont="1" applyBorder="1" applyAlignment="1">
      <alignment horizontal="center" vertical="center"/>
    </xf>
    <xf numFmtId="9" fontId="33" fillId="0" borderId="0" xfId="3" applyFont="1" applyAlignment="1">
      <alignment horizontal="center" vertical="center"/>
    </xf>
    <xf numFmtId="0" fontId="36" fillId="0" borderId="8" xfId="0" applyFont="1" applyBorder="1" applyAlignment="1">
      <alignment horizontal="right" vertical="center"/>
    </xf>
    <xf numFmtId="0" fontId="37" fillId="0" borderId="9" xfId="0" applyFont="1" applyBorder="1" applyAlignment="1">
      <alignment vertical="center"/>
    </xf>
    <xf numFmtId="0" fontId="37" fillId="0" borderId="3" xfId="0" applyFont="1" applyBorder="1" applyAlignment="1">
      <alignment vertical="center"/>
    </xf>
    <xf numFmtId="0" fontId="36" fillId="0" borderId="3" xfId="0" applyFont="1" applyBorder="1" applyAlignment="1">
      <alignment horizontal="left" vertical="center"/>
    </xf>
    <xf numFmtId="0" fontId="9" fillId="0" borderId="3" xfId="0" applyFont="1" applyBorder="1" applyAlignment="1">
      <alignment horizontal="center" vertical="center"/>
    </xf>
    <xf numFmtId="0" fontId="34" fillId="0" borderId="3" xfId="0" applyFont="1" applyBorder="1" applyAlignment="1">
      <alignment horizontal="center"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4" fillId="0" borderId="16" xfId="0" applyFont="1" applyBorder="1" applyAlignment="1">
      <alignment horizontal="left" vertical="center"/>
    </xf>
    <xf numFmtId="0" fontId="9" fillId="0" borderId="16" xfId="0" applyFont="1" applyBorder="1" applyAlignment="1">
      <alignment vertical="center"/>
    </xf>
    <xf numFmtId="0" fontId="44" fillId="0" borderId="16" xfId="0" applyFont="1" applyBorder="1" applyAlignment="1">
      <alignment vertical="center"/>
    </xf>
    <xf numFmtId="0" fontId="9" fillId="0" borderId="17" xfId="0" applyFont="1" applyBorder="1" applyAlignment="1">
      <alignment vertical="center"/>
    </xf>
    <xf numFmtId="0" fontId="45" fillId="0" borderId="0" xfId="0" applyFont="1" applyFill="1" applyAlignment="1">
      <alignment vertical="center"/>
    </xf>
    <xf numFmtId="0" fontId="9" fillId="0" borderId="18" xfId="0" applyFont="1" applyBorder="1" applyAlignment="1">
      <alignment horizontal="center" vertical="center"/>
    </xf>
    <xf numFmtId="0" fontId="36" fillId="0" borderId="19" xfId="0" applyFont="1" applyBorder="1" applyAlignment="1">
      <alignment horizontal="right" vertical="center"/>
    </xf>
    <xf numFmtId="49" fontId="37" fillId="0" borderId="20" xfId="0" applyNumberFormat="1" applyFont="1" applyBorder="1" applyAlignment="1">
      <alignment vertical="center"/>
    </xf>
    <xf numFmtId="0" fontId="37" fillId="0" borderId="21" xfId="0" applyFont="1" applyBorder="1" applyAlignment="1">
      <alignment vertical="center"/>
    </xf>
    <xf numFmtId="0" fontId="46" fillId="0" borderId="21" xfId="0" applyFont="1" applyBorder="1" applyAlignment="1">
      <alignment horizontal="right" vertical="center"/>
    </xf>
    <xf numFmtId="0" fontId="36" fillId="0" borderId="20" xfId="0" applyFont="1" applyBorder="1" applyAlignment="1">
      <alignment horizontal="left" vertical="center"/>
    </xf>
    <xf numFmtId="0" fontId="47" fillId="6" borderId="21" xfId="0" applyFont="1" applyFill="1" applyBorder="1" applyAlignment="1">
      <alignment horizontal="center" vertical="center"/>
    </xf>
    <xf numFmtId="0" fontId="9" fillId="0" borderId="21" xfId="0" applyFont="1" applyBorder="1" applyAlignment="1">
      <alignment horizontal="center" vertical="center"/>
    </xf>
    <xf numFmtId="0" fontId="34" fillId="0" borderId="21" xfId="0" applyFont="1" applyBorder="1" applyAlignment="1">
      <alignment horizontal="center" vertical="center"/>
    </xf>
    <xf numFmtId="0" fontId="44"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49" fontId="37" fillId="0" borderId="9" xfId="0" applyNumberFormat="1" applyFont="1" applyBorder="1" applyAlignment="1">
      <alignment vertical="center"/>
    </xf>
    <xf numFmtId="0" fontId="46" fillId="0" borderId="3" xfId="0" applyFont="1" applyBorder="1" applyAlignment="1">
      <alignment horizontal="right" vertical="center"/>
    </xf>
    <xf numFmtId="0" fontId="36" fillId="0" borderId="9" xfId="0" applyFont="1" applyBorder="1" applyAlignment="1">
      <alignment horizontal="left" vertical="center"/>
    </xf>
    <xf numFmtId="0" fontId="47" fillId="6" borderId="3" xfId="0" applyFont="1" applyFill="1" applyBorder="1" applyAlignment="1">
      <alignment horizontal="center" vertical="center"/>
    </xf>
    <xf numFmtId="0" fontId="44" fillId="0" borderId="3" xfId="0" applyFont="1" applyBorder="1" applyAlignment="1">
      <alignment horizontal="center" vertical="center"/>
    </xf>
    <xf numFmtId="0" fontId="9" fillId="0" borderId="24" xfId="0" applyFont="1" applyBorder="1" applyAlignment="1">
      <alignment horizontal="center" vertical="center"/>
    </xf>
    <xf numFmtId="0" fontId="48" fillId="0" borderId="9" xfId="0" applyFont="1" applyBorder="1" applyAlignment="1">
      <alignment horizontal="left" vertical="center"/>
    </xf>
    <xf numFmtId="0" fontId="38" fillId="0" borderId="3" xfId="0" applyFont="1" applyBorder="1" applyAlignment="1">
      <alignment horizontal="center" vertical="center"/>
    </xf>
    <xf numFmtId="0" fontId="39" fillId="0" borderId="8" xfId="0" applyFont="1" applyBorder="1" applyAlignment="1">
      <alignment horizontal="right" vertical="center"/>
    </xf>
    <xf numFmtId="0" fontId="46" fillId="0" borderId="8" xfId="0" applyFont="1" applyBorder="1" applyAlignment="1">
      <alignment horizontal="right" vertical="center"/>
    </xf>
    <xf numFmtId="0" fontId="9" fillId="4" borderId="23" xfId="0" applyFont="1" applyFill="1" applyBorder="1" applyAlignment="1">
      <alignment horizontal="center" vertical="center"/>
    </xf>
    <xf numFmtId="0" fontId="9" fillId="7" borderId="25" xfId="0" applyFont="1" applyFill="1" applyBorder="1" applyAlignment="1">
      <alignment horizontal="center" vertical="center"/>
    </xf>
    <xf numFmtId="0" fontId="36" fillId="0" borderId="26" xfId="0" applyFont="1" applyBorder="1" applyAlignment="1">
      <alignment horizontal="right" vertical="center"/>
    </xf>
    <xf numFmtId="49" fontId="37" fillId="0" borderId="27" xfId="0" applyNumberFormat="1" applyFont="1" applyBorder="1" applyAlignment="1">
      <alignment vertical="center"/>
    </xf>
    <xf numFmtId="0" fontId="37" fillId="0" borderId="28" xfId="0" applyFont="1" applyBorder="1" applyAlignment="1">
      <alignment vertical="center"/>
    </xf>
    <xf numFmtId="0" fontId="46" fillId="0" borderId="26" xfId="0" applyFont="1" applyBorder="1" applyAlignment="1">
      <alignment horizontal="right" vertical="center"/>
    </xf>
    <xf numFmtId="0" fontId="36" fillId="0" borderId="28" xfId="0" applyFont="1" applyBorder="1" applyAlignment="1">
      <alignment horizontal="left" vertical="center"/>
    </xf>
    <xf numFmtId="0" fontId="9" fillId="0" borderId="28" xfId="0" applyFont="1" applyBorder="1" applyAlignment="1">
      <alignment horizontal="center" vertical="center"/>
    </xf>
    <xf numFmtId="0" fontId="34" fillId="0" borderId="28" xfId="0" applyFont="1" applyBorder="1" applyAlignment="1">
      <alignment horizontal="center" vertical="center"/>
    </xf>
    <xf numFmtId="0" fontId="44"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3" xfId="0" applyFont="1" applyBorder="1" applyAlignment="1">
      <alignment horizontal="center" vertical="center"/>
    </xf>
    <xf numFmtId="0" fontId="45" fillId="0" borderId="13" xfId="0" applyFont="1" applyBorder="1" applyAlignment="1">
      <alignment horizontal="center" vertical="center"/>
    </xf>
    <xf numFmtId="0" fontId="9" fillId="0" borderId="13" xfId="0" applyFont="1" applyBorder="1" applyAlignment="1">
      <alignment vertical="center"/>
    </xf>
    <xf numFmtId="0" fontId="0" fillId="0" borderId="13" xfId="0" applyBorder="1" applyAlignment="1">
      <alignment vertical="center"/>
    </xf>
    <xf numFmtId="0" fontId="9" fillId="0" borderId="13" xfId="0" applyFont="1" applyBorder="1" applyAlignment="1">
      <alignment horizontal="right" vertical="center"/>
    </xf>
    <xf numFmtId="0" fontId="44" fillId="0" borderId="13" xfId="0" applyFont="1" applyBorder="1" applyAlignment="1">
      <alignment horizontal="right" vertical="center"/>
    </xf>
    <xf numFmtId="0" fontId="42" fillId="0" borderId="31" xfId="0" applyFont="1" applyBorder="1" applyAlignment="1">
      <alignment horizontal="left" vertical="center"/>
    </xf>
    <xf numFmtId="0" fontId="42" fillId="0" borderId="32" xfId="0" applyFont="1" applyBorder="1" applyAlignment="1">
      <alignment horizontal="left" vertical="center"/>
    </xf>
    <xf numFmtId="0" fontId="45" fillId="0" borderId="0" xfId="0" applyFont="1" applyFill="1" applyAlignment="1">
      <alignment horizontal="center" vertical="center"/>
    </xf>
    <xf numFmtId="0" fontId="44" fillId="0" borderId="33"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horizontal="center" vertical="center"/>
    </xf>
    <xf numFmtId="0" fontId="36" fillId="0" borderId="36" xfId="0" applyFont="1" applyBorder="1" applyAlignment="1">
      <alignment horizontal="right" vertical="center"/>
    </xf>
    <xf numFmtId="0" fontId="37" fillId="0" borderId="37" xfId="0" applyFont="1" applyBorder="1" applyAlignment="1">
      <alignment vertical="center"/>
    </xf>
    <xf numFmtId="0" fontId="37" fillId="0" borderId="38" xfId="0" applyFont="1" applyBorder="1" applyAlignment="1">
      <alignment vertical="center"/>
    </xf>
    <xf numFmtId="0" fontId="39" fillId="0" borderId="36" xfId="0" applyFont="1" applyBorder="1" applyAlignment="1">
      <alignment horizontal="right" vertical="center"/>
    </xf>
    <xf numFmtId="0" fontId="36" fillId="0" borderId="38" xfId="0" applyFont="1" applyBorder="1" applyAlignment="1">
      <alignment horizontal="left" vertical="center"/>
    </xf>
    <xf numFmtId="0" fontId="9" fillId="0" borderId="38" xfId="0" applyFont="1" applyBorder="1" applyAlignment="1">
      <alignment horizontal="center" vertical="center"/>
    </xf>
    <xf numFmtId="0" fontId="34" fillId="0" borderId="38" xfId="0" applyFont="1" applyBorder="1" applyAlignment="1">
      <alignment horizontal="center" vertical="center"/>
    </xf>
    <xf numFmtId="0" fontId="44" fillId="0" borderId="38" xfId="0" applyFont="1" applyBorder="1" applyAlignment="1">
      <alignment horizontal="center" vertical="center"/>
    </xf>
    <xf numFmtId="0" fontId="9" fillId="0" borderId="39" xfId="0" applyFont="1" applyBorder="1" applyAlignment="1">
      <alignment horizontal="center" vertical="center"/>
    </xf>
    <xf numFmtId="0" fontId="9" fillId="0" borderId="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50" fillId="0" borderId="3" xfId="0" applyFont="1" applyBorder="1" applyAlignment="1">
      <alignment horizontal="center" vertical="center"/>
    </xf>
    <xf numFmtId="0" fontId="9" fillId="0" borderId="42" xfId="0" applyFont="1" applyBorder="1" applyAlignment="1">
      <alignment horizontal="center" vertical="center"/>
    </xf>
    <xf numFmtId="0" fontId="36" fillId="0" borderId="43" xfId="0" applyFont="1" applyBorder="1" applyAlignment="1">
      <alignment horizontal="right" vertical="center"/>
    </xf>
    <xf numFmtId="0" fontId="37" fillId="0" borderId="44" xfId="0" applyFont="1" applyBorder="1" applyAlignment="1">
      <alignment vertical="center"/>
    </xf>
    <xf numFmtId="0" fontId="37" fillId="0" borderId="45" xfId="0" applyFont="1" applyBorder="1" applyAlignment="1">
      <alignment vertical="center"/>
    </xf>
    <xf numFmtId="0" fontId="39" fillId="0" borderId="43" xfId="0" applyFont="1" applyBorder="1" applyAlignment="1">
      <alignment horizontal="right" vertical="center"/>
    </xf>
    <xf numFmtId="0" fontId="36" fillId="0" borderId="45" xfId="0" applyFont="1" applyBorder="1" applyAlignment="1">
      <alignment horizontal="left" vertical="center"/>
    </xf>
    <xf numFmtId="0" fontId="9" fillId="0" borderId="45" xfId="0" applyFont="1" applyBorder="1" applyAlignment="1">
      <alignment horizontal="center" vertical="center"/>
    </xf>
    <xf numFmtId="0" fontId="34" fillId="0" borderId="45" xfId="0" applyFont="1" applyBorder="1" applyAlignment="1">
      <alignment horizontal="center" vertical="center"/>
    </xf>
    <xf numFmtId="0" fontId="44" fillId="0" borderId="45" xfId="0" applyFont="1" applyBorder="1" applyAlignment="1">
      <alignment horizontal="center" vertical="center"/>
    </xf>
    <xf numFmtId="0" fontId="9" fillId="0" borderId="46" xfId="0" applyFont="1" applyBorder="1" applyAlignment="1">
      <alignment horizontal="center" vertical="center"/>
    </xf>
    <xf numFmtId="0" fontId="9" fillId="0" borderId="31" xfId="0" applyFont="1" applyBorder="1" applyAlignment="1">
      <alignment horizontal="center" vertical="center"/>
    </xf>
    <xf numFmtId="0" fontId="51" fillId="0" borderId="31" xfId="0" applyFont="1" applyBorder="1" applyAlignment="1">
      <alignment horizontal="right" vertical="center"/>
    </xf>
    <xf numFmtId="0" fontId="9" fillId="0" borderId="31" xfId="0" applyFont="1" applyBorder="1" applyAlignment="1">
      <alignment horizontal="left" vertical="center"/>
    </xf>
    <xf numFmtId="0" fontId="47" fillId="6" borderId="38" xfId="0" applyFont="1" applyFill="1" applyBorder="1" applyAlignment="1">
      <alignment horizontal="center" vertical="center"/>
    </xf>
    <xf numFmtId="0" fontId="44" fillId="0" borderId="2" xfId="0" applyFont="1" applyBorder="1" applyAlignment="1">
      <alignment horizontal="center" vertical="center"/>
    </xf>
    <xf numFmtId="0" fontId="9" fillId="0" borderId="2" xfId="0" applyFont="1" applyBorder="1" applyAlignment="1">
      <alignment horizontal="center" vertical="center"/>
    </xf>
    <xf numFmtId="0" fontId="9" fillId="0" borderId="50" xfId="0" applyFont="1" applyBorder="1" applyAlignment="1">
      <alignment horizontal="center" vertical="center"/>
    </xf>
    <xf numFmtId="0" fontId="36" fillId="0" borderId="51" xfId="0" applyFont="1" applyBorder="1" applyAlignment="1">
      <alignment horizontal="right" vertical="center"/>
    </xf>
    <xf numFmtId="0" fontId="37" fillId="0" borderId="52" xfId="0" applyFont="1" applyBorder="1" applyAlignment="1">
      <alignment vertical="center"/>
    </xf>
    <xf numFmtId="0" fontId="37" fillId="0" borderId="33" xfId="0" applyFont="1" applyBorder="1" applyAlignment="1">
      <alignment vertical="center"/>
    </xf>
    <xf numFmtId="0" fontId="36" fillId="0" borderId="33" xfId="0" applyFont="1" applyBorder="1" applyAlignment="1">
      <alignment horizontal="lef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45" fillId="0" borderId="31" xfId="0" applyFont="1" applyBorder="1" applyAlignment="1">
      <alignment horizontal="center" vertical="center"/>
    </xf>
    <xf numFmtId="0" fontId="9" fillId="0" borderId="31" xfId="0" applyFont="1" applyBorder="1" applyAlignment="1">
      <alignment vertical="center"/>
    </xf>
    <xf numFmtId="0" fontId="0" fillId="0" borderId="31" xfId="0" applyBorder="1" applyAlignment="1">
      <alignment vertical="center"/>
    </xf>
    <xf numFmtId="0" fontId="12" fillId="0" borderId="31" xfId="0" applyFont="1" applyBorder="1" applyAlignment="1">
      <alignment vertical="center"/>
    </xf>
    <xf numFmtId="0" fontId="9" fillId="0" borderId="31" xfId="0" applyFont="1" applyBorder="1" applyAlignment="1">
      <alignment horizontal="right" vertical="center"/>
    </xf>
    <xf numFmtId="0" fontId="9" fillId="0" borderId="53" xfId="0" applyFont="1" applyBorder="1" applyAlignment="1">
      <alignment horizontal="center" vertical="center"/>
    </xf>
    <xf numFmtId="0" fontId="36" fillId="0" borderId="54" xfId="0" applyFont="1" applyBorder="1" applyAlignment="1">
      <alignment horizontal="right" vertical="center"/>
    </xf>
    <xf numFmtId="0" fontId="37" fillId="0" borderId="55" xfId="0" applyFont="1" applyBorder="1" applyAlignment="1">
      <alignment vertical="center"/>
    </xf>
    <xf numFmtId="0" fontId="37" fillId="0" borderId="2" xfId="0" applyFont="1" applyBorder="1" applyAlignment="1">
      <alignment vertical="center"/>
    </xf>
    <xf numFmtId="0" fontId="39" fillId="0" borderId="54" xfId="0" applyFont="1" applyBorder="1" applyAlignment="1">
      <alignment horizontal="right" vertical="center"/>
    </xf>
    <xf numFmtId="0" fontId="36" fillId="0" borderId="2" xfId="0" applyFont="1" applyBorder="1" applyAlignment="1">
      <alignment horizontal="left" vertical="center"/>
    </xf>
    <xf numFmtId="0" fontId="47" fillId="6" borderId="2" xfId="0" applyFont="1" applyFill="1" applyBorder="1" applyAlignment="1">
      <alignment horizontal="center" vertical="center"/>
    </xf>
    <xf numFmtId="0" fontId="9" fillId="0" borderId="56" xfId="0" applyFont="1" applyBorder="1" applyAlignment="1">
      <alignment horizontal="center" vertical="center"/>
    </xf>
    <xf numFmtId="0" fontId="44" fillId="0" borderId="0" xfId="0" applyFont="1" applyAlignment="1">
      <alignment vertical="center"/>
    </xf>
    <xf numFmtId="0" fontId="9" fillId="0" borderId="0" xfId="0" applyFont="1" applyAlignment="1">
      <alignment vertical="center"/>
    </xf>
    <xf numFmtId="0" fontId="9" fillId="0" borderId="60" xfId="0" applyFont="1" applyBorder="1" applyAlignment="1">
      <alignment horizontal="center" vertical="center"/>
    </xf>
    <xf numFmtId="0" fontId="36" fillId="0" borderId="61" xfId="0" applyFont="1" applyBorder="1" applyAlignment="1">
      <alignment horizontal="right" vertical="center"/>
    </xf>
    <xf numFmtId="0" fontId="37" fillId="0" borderId="62" xfId="0" applyFont="1" applyBorder="1" applyAlignment="1">
      <alignment vertical="center"/>
    </xf>
    <xf numFmtId="0" fontId="37" fillId="0" borderId="63" xfId="0" applyFont="1" applyBorder="1" applyAlignment="1">
      <alignment vertical="center"/>
    </xf>
    <xf numFmtId="0" fontId="36" fillId="0" borderId="63" xfId="0" applyFont="1" applyBorder="1" applyAlignment="1">
      <alignment horizontal="left" vertical="center"/>
    </xf>
    <xf numFmtId="0" fontId="9" fillId="0" borderId="63" xfId="0" applyFont="1" applyBorder="1" applyAlignment="1">
      <alignment horizontal="center" vertical="center"/>
    </xf>
    <xf numFmtId="0" fontId="34" fillId="0" borderId="63" xfId="0" applyFont="1" applyBorder="1" applyAlignment="1">
      <alignment horizontal="center" vertical="center"/>
    </xf>
    <xf numFmtId="0" fontId="44"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0" fillId="0" borderId="3" xfId="0" applyFont="1" applyBorder="1" applyAlignment="1">
      <alignment horizontal="center" vertical="center"/>
    </xf>
    <xf numFmtId="0" fontId="9" fillId="7" borderId="65" xfId="0" applyFont="1" applyFill="1" applyBorder="1" applyAlignment="1">
      <alignment horizontal="center" vertical="center"/>
    </xf>
    <xf numFmtId="0" fontId="37" fillId="0" borderId="8" xfId="0" applyFont="1" applyBorder="1" applyAlignment="1">
      <alignment horizontal="right" vertical="center"/>
    </xf>
    <xf numFmtId="0" fontId="9" fillId="0" borderId="65" xfId="0" applyFont="1" applyFill="1" applyBorder="1" applyAlignment="1">
      <alignment horizontal="center" vertical="center"/>
    </xf>
    <xf numFmtId="0" fontId="9" fillId="0" borderId="67" xfId="0" applyFont="1" applyBorder="1" applyAlignment="1">
      <alignment horizontal="center" vertical="center"/>
    </xf>
    <xf numFmtId="0" fontId="36" fillId="0" borderId="68" xfId="0" applyFont="1" applyBorder="1" applyAlignment="1">
      <alignment horizontal="right" vertical="center"/>
    </xf>
    <xf numFmtId="0" fontId="37" fillId="0" borderId="69" xfId="0" applyFont="1" applyBorder="1" applyAlignment="1">
      <alignment vertical="center"/>
    </xf>
    <xf numFmtId="0" fontId="37" fillId="0" borderId="70" xfId="0" applyFont="1" applyBorder="1" applyAlignment="1">
      <alignment vertical="center"/>
    </xf>
    <xf numFmtId="0" fontId="37" fillId="0" borderId="68" xfId="0" applyFont="1" applyBorder="1" applyAlignment="1">
      <alignment horizontal="right" vertical="center"/>
    </xf>
    <xf numFmtId="0" fontId="36" fillId="0" borderId="70" xfId="0" applyFont="1" applyBorder="1" applyAlignment="1">
      <alignment horizontal="left" vertical="center"/>
    </xf>
    <xf numFmtId="0" fontId="9" fillId="0" borderId="70" xfId="0" applyFont="1" applyBorder="1" applyAlignment="1">
      <alignment horizontal="center" vertical="center"/>
    </xf>
    <xf numFmtId="0" fontId="34" fillId="0" borderId="70" xfId="0" applyFont="1" applyBorder="1" applyAlignment="1">
      <alignment horizontal="center" vertical="center"/>
    </xf>
    <xf numFmtId="0" fontId="44"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45" fillId="0" borderId="72" xfId="0" applyFont="1" applyBorder="1" applyAlignment="1">
      <alignment horizontal="center" vertical="center"/>
    </xf>
    <xf numFmtId="0" fontId="9" fillId="0" borderId="72" xfId="0" applyFont="1" applyBorder="1" applyAlignment="1">
      <alignment vertical="center"/>
    </xf>
    <xf numFmtId="0" fontId="0" fillId="0" borderId="72" xfId="0" applyBorder="1" applyAlignment="1">
      <alignment vertical="center"/>
    </xf>
    <xf numFmtId="0" fontId="12" fillId="0" borderId="72" xfId="0" applyFont="1" applyBorder="1" applyAlignment="1">
      <alignment vertical="center"/>
    </xf>
    <xf numFmtId="0" fontId="9" fillId="0" borderId="72" xfId="0" applyFont="1" applyBorder="1" applyAlignment="1">
      <alignment horizontal="right" vertical="center"/>
    </xf>
    <xf numFmtId="0" fontId="37" fillId="0" borderId="20" xfId="0" applyFont="1" applyBorder="1" applyAlignment="1">
      <alignment vertical="center"/>
    </xf>
    <xf numFmtId="0" fontId="39" fillId="0" borderId="19" xfId="0" applyFont="1" applyBorder="1" applyAlignment="1">
      <alignment horizontal="right" vertical="center"/>
    </xf>
    <xf numFmtId="0" fontId="36" fillId="0" borderId="21" xfId="0" applyFont="1" applyBorder="1" applyAlignment="1">
      <alignment horizontal="left" vertical="center"/>
    </xf>
    <xf numFmtId="0" fontId="9" fillId="6" borderId="21" xfId="0" applyFont="1" applyFill="1" applyBorder="1" applyAlignment="1">
      <alignment horizontal="center" vertical="center"/>
    </xf>
    <xf numFmtId="0" fontId="38" fillId="0" borderId="3" xfId="0" applyFont="1" applyBorder="1" applyAlignment="1">
      <alignment vertical="center"/>
    </xf>
    <xf numFmtId="0" fontId="9" fillId="0" borderId="25" xfId="0" applyFont="1" applyBorder="1" applyAlignment="1">
      <alignment horizontal="center" vertical="center"/>
    </xf>
    <xf numFmtId="0" fontId="37" fillId="0" borderId="27" xfId="0" applyFont="1" applyBorder="1" applyAlignment="1">
      <alignment vertical="center"/>
    </xf>
    <xf numFmtId="0" fontId="39" fillId="0" borderId="26" xfId="0" applyFont="1" applyBorder="1" applyAlignment="1">
      <alignment horizontal="right" vertical="center"/>
    </xf>
    <xf numFmtId="0" fontId="12" fillId="0" borderId="13" xfId="0" applyFont="1" applyBorder="1" applyAlignment="1">
      <alignment vertical="center"/>
    </xf>
    <xf numFmtId="0" fontId="0" fillId="0" borderId="1" xfId="0" applyBorder="1" applyAlignment="1">
      <alignment vertical="center"/>
    </xf>
    <xf numFmtId="0" fontId="12" fillId="0" borderId="1" xfId="0" applyFont="1" applyBorder="1" applyAlignment="1">
      <alignment vertical="center"/>
    </xf>
    <xf numFmtId="0" fontId="9" fillId="0" borderId="2" xfId="0" applyFont="1" applyBorder="1" applyAlignment="1">
      <alignment vertical="center"/>
    </xf>
    <xf numFmtId="0" fontId="9" fillId="0" borderId="76" xfId="0" applyFont="1" applyBorder="1" applyAlignment="1">
      <alignment horizontal="center" vertical="center"/>
    </xf>
    <xf numFmtId="0" fontId="37" fillId="0" borderId="1" xfId="0" applyFont="1" applyBorder="1" applyAlignment="1">
      <alignment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right" vertical="center"/>
    </xf>
    <xf numFmtId="0" fontId="9" fillId="4" borderId="21" xfId="0" applyFont="1" applyFill="1" applyBorder="1" applyAlignment="1">
      <alignment horizontal="center" vertical="center"/>
    </xf>
    <xf numFmtId="165" fontId="43" fillId="0" borderId="3" xfId="0" applyNumberFormat="1" applyFont="1" applyBorder="1" applyAlignment="1">
      <alignment horizontal="right"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8" xfId="0" applyFont="1" applyBorder="1" applyAlignment="1">
      <alignment vertical="center"/>
    </xf>
    <xf numFmtId="1" fontId="38" fillId="0" borderId="19" xfId="0" applyNumberFormat="1" applyFont="1" applyBorder="1" applyAlignment="1">
      <alignment vertical="center"/>
    </xf>
    <xf numFmtId="1" fontId="38" fillId="0" borderId="8" xfId="0" applyNumberFormat="1" applyFont="1" applyBorder="1" applyAlignment="1">
      <alignment vertical="center"/>
    </xf>
    <xf numFmtId="0" fontId="37" fillId="0" borderId="8" xfId="0" applyFont="1" applyBorder="1" applyAlignment="1">
      <alignment vertical="center"/>
    </xf>
    <xf numFmtId="0" fontId="37" fillId="0" borderId="26" xfId="0" applyFont="1" applyBorder="1" applyAlignment="1">
      <alignment vertical="center"/>
    </xf>
    <xf numFmtId="0" fontId="42" fillId="0" borderId="82" xfId="0" applyFont="1" applyBorder="1" applyAlignment="1">
      <alignment horizontal="left" vertical="center"/>
    </xf>
    <xf numFmtId="0" fontId="42" fillId="0" borderId="83" xfId="0" applyFont="1" applyBorder="1" applyAlignment="1">
      <alignment horizontal="left" vertical="center"/>
    </xf>
    <xf numFmtId="0" fontId="44" fillId="0" borderId="85" xfId="0" applyFont="1" applyBorder="1" applyAlignment="1">
      <alignment vertical="center"/>
    </xf>
    <xf numFmtId="0" fontId="9" fillId="0" borderId="85" xfId="0" applyFont="1" applyBorder="1" applyAlignment="1">
      <alignment vertical="center"/>
    </xf>
    <xf numFmtId="0" fontId="9" fillId="0" borderId="86" xfId="0" applyFont="1" applyBorder="1" applyAlignment="1">
      <alignment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36" fillId="0" borderId="91" xfId="0" applyFont="1" applyBorder="1" applyAlignment="1">
      <alignment horizontal="right" vertical="center"/>
    </xf>
    <xf numFmtId="0" fontId="37" fillId="0" borderId="92" xfId="0" applyFont="1" applyBorder="1" applyAlignment="1">
      <alignment vertical="center"/>
    </xf>
    <xf numFmtId="0" fontId="37" fillId="0" borderId="93" xfId="0" applyFont="1" applyBorder="1" applyAlignment="1">
      <alignment vertical="center"/>
    </xf>
    <xf numFmtId="0" fontId="39" fillId="0" borderId="91" xfId="0" applyFont="1" applyBorder="1" applyAlignment="1">
      <alignment horizontal="right" vertical="center"/>
    </xf>
    <xf numFmtId="0" fontId="36" fillId="0" borderId="93" xfId="0" applyFont="1" applyBorder="1" applyAlignment="1">
      <alignment horizontal="left" vertical="center"/>
    </xf>
    <xf numFmtId="0" fontId="9" fillId="0" borderId="93" xfId="0" applyFont="1" applyBorder="1" applyAlignment="1">
      <alignment horizontal="center" vertical="center"/>
    </xf>
    <xf numFmtId="0" fontId="34" fillId="0" borderId="93" xfId="0" applyFont="1" applyBorder="1" applyAlignment="1">
      <alignment horizontal="center" vertical="center"/>
    </xf>
    <xf numFmtId="0" fontId="44" fillId="0" borderId="93" xfId="0" applyFont="1" applyBorder="1" applyAlignment="1">
      <alignment horizontal="center" vertical="center"/>
    </xf>
    <xf numFmtId="0" fontId="9" fillId="0" borderId="94" xfId="0" applyFont="1" applyBorder="1" applyAlignment="1">
      <alignment horizontal="center" vertical="center"/>
    </xf>
    <xf numFmtId="0" fontId="9" fillId="0" borderId="0" xfId="0" applyFont="1" applyAlignment="1">
      <alignment horizontal="right" vertical="center"/>
    </xf>
    <xf numFmtId="0" fontId="53" fillId="0" borderId="105" xfId="0" applyFont="1" applyBorder="1" applyAlignment="1">
      <alignment horizontal="center" vertical="center"/>
    </xf>
    <xf numFmtId="0" fontId="67" fillId="10" borderId="102" xfId="0" applyFont="1" applyFill="1" applyBorder="1" applyAlignment="1">
      <alignment horizontal="left" vertical="center"/>
    </xf>
    <xf numFmtId="0" fontId="69" fillId="10" borderId="102" xfId="0" applyFont="1" applyFill="1" applyBorder="1" applyAlignment="1">
      <alignment vertical="center"/>
    </xf>
    <xf numFmtId="0" fontId="70" fillId="10" borderId="102" xfId="0" applyFont="1" applyFill="1" applyBorder="1" applyAlignment="1">
      <alignment horizontal="center" vertical="center"/>
    </xf>
    <xf numFmtId="0" fontId="9" fillId="0" borderId="100" xfId="0" applyFont="1" applyBorder="1" applyAlignment="1">
      <alignment horizontal="center" vertical="center"/>
    </xf>
    <xf numFmtId="0" fontId="53" fillId="0" borderId="100" xfId="0" applyFont="1" applyBorder="1" applyAlignment="1">
      <alignment horizontal="center" vertical="center"/>
    </xf>
    <xf numFmtId="0" fontId="9" fillId="0" borderId="98" xfId="0" applyFont="1" applyBorder="1" applyAlignment="1">
      <alignment horizontal="center" vertical="center"/>
    </xf>
    <xf numFmtId="0" fontId="45" fillId="0" borderId="0" xfId="0" applyFont="1" applyAlignment="1">
      <alignment horizontal="center" vertical="center"/>
    </xf>
    <xf numFmtId="0" fontId="9" fillId="0" borderId="114" xfId="0" applyFont="1" applyBorder="1" applyAlignment="1">
      <alignment horizontal="center" vertical="center"/>
    </xf>
    <xf numFmtId="0" fontId="37" fillId="0" borderId="117" xfId="0" applyFont="1" applyBorder="1" applyAlignment="1">
      <alignment vertical="center"/>
    </xf>
    <xf numFmtId="0" fontId="36" fillId="0" borderId="116" xfId="0" applyFont="1" applyBorder="1" applyAlignment="1">
      <alignment horizontal="left" vertical="center"/>
    </xf>
    <xf numFmtId="0" fontId="9" fillId="0" borderId="118" xfId="0" applyFont="1" applyBorder="1" applyAlignment="1">
      <alignment horizontal="center" vertical="center"/>
    </xf>
    <xf numFmtId="0" fontId="37" fillId="0" borderId="119" xfId="0" applyFont="1" applyBorder="1" applyAlignment="1">
      <alignment horizontal="right" vertical="center"/>
    </xf>
    <xf numFmtId="0" fontId="36" fillId="0" borderId="120" xfId="0" applyFont="1" applyBorder="1" applyAlignment="1">
      <alignment horizontal="left" vertical="center"/>
    </xf>
    <xf numFmtId="0" fontId="36" fillId="0" borderId="8" xfId="0" applyFont="1" applyFill="1" applyBorder="1" applyAlignment="1">
      <alignment horizontal="right" vertical="center"/>
    </xf>
    <xf numFmtId="0" fontId="0" fillId="0" borderId="2" xfId="0" applyBorder="1" applyAlignment="1">
      <alignment vertical="center"/>
    </xf>
    <xf numFmtId="0" fontId="9" fillId="0" borderId="121" xfId="0" applyFont="1" applyBorder="1" applyAlignment="1">
      <alignment horizontal="center" vertical="center"/>
    </xf>
    <xf numFmtId="0" fontId="37" fillId="0" borderId="120" xfId="0" applyFont="1" applyBorder="1" applyAlignment="1">
      <alignment vertical="center"/>
    </xf>
    <xf numFmtId="0" fontId="9" fillId="0" borderId="123" xfId="0" applyFont="1" applyBorder="1" applyAlignment="1">
      <alignment horizontal="center" vertical="center"/>
    </xf>
    <xf numFmtId="0" fontId="37" fillId="0" borderId="0" xfId="0" applyFont="1" applyAlignment="1">
      <alignment vertical="center"/>
    </xf>
    <xf numFmtId="0" fontId="0" fillId="0" borderId="3" xfId="0" applyFill="1" applyBorder="1" applyAlignment="1">
      <alignment vertical="center"/>
    </xf>
    <xf numFmtId="0" fontId="9" fillId="0" borderId="121" xfId="0" applyFont="1" applyFill="1" applyBorder="1" applyAlignment="1">
      <alignment horizontal="center" vertical="center"/>
    </xf>
    <xf numFmtId="0" fontId="36" fillId="0" borderId="124" xfId="0" applyFont="1" applyBorder="1" applyAlignment="1">
      <alignment horizontal="right" vertical="center"/>
    </xf>
    <xf numFmtId="0" fontId="0" fillId="0" borderId="125" xfId="0" applyBorder="1" applyAlignment="1">
      <alignment vertical="center"/>
    </xf>
    <xf numFmtId="0" fontId="9" fillId="0" borderId="126" xfId="0" applyFont="1" applyBorder="1" applyAlignment="1">
      <alignment horizontal="center" vertical="center"/>
    </xf>
    <xf numFmtId="0" fontId="9" fillId="0" borderId="127" xfId="0" applyFont="1" applyBorder="1" applyAlignment="1">
      <alignment horizontal="center" vertical="center"/>
    </xf>
    <xf numFmtId="0" fontId="37" fillId="0" borderId="128" xfId="0" applyFont="1" applyBorder="1" applyAlignment="1">
      <alignment vertical="center"/>
    </xf>
    <xf numFmtId="0" fontId="36" fillId="0" borderId="128" xfId="0" applyFont="1" applyBorder="1" applyAlignment="1">
      <alignment horizontal="left" vertical="center"/>
    </xf>
    <xf numFmtId="0" fontId="0" fillId="0" borderId="129" xfId="0" applyBorder="1" applyAlignment="1">
      <alignment vertical="center"/>
    </xf>
    <xf numFmtId="0" fontId="9" fillId="0" borderId="131" xfId="0" applyFont="1" applyBorder="1" applyAlignment="1">
      <alignment horizontal="center" vertical="center"/>
    </xf>
    <xf numFmtId="0" fontId="36" fillId="0" borderId="132" xfId="0" applyFont="1" applyBorder="1" applyAlignment="1">
      <alignment horizontal="right" vertical="center"/>
    </xf>
    <xf numFmtId="0" fontId="37" fillId="0" borderId="133" xfId="0" applyFont="1" applyBorder="1" applyAlignment="1">
      <alignment vertical="center"/>
    </xf>
    <xf numFmtId="0" fontId="37" fillId="0" borderId="134" xfId="0" applyFont="1" applyBorder="1" applyAlignment="1">
      <alignment vertical="center"/>
    </xf>
    <xf numFmtId="0" fontId="37" fillId="0" borderId="135" xfId="0" applyFont="1" applyBorder="1" applyAlignment="1">
      <alignment horizontal="right" vertical="center"/>
    </xf>
    <xf numFmtId="0" fontId="36" fillId="0" borderId="133" xfId="0" applyFont="1" applyBorder="1" applyAlignment="1">
      <alignment horizontal="left" vertical="center"/>
    </xf>
    <xf numFmtId="0" fontId="9" fillId="0" borderId="134" xfId="0" applyFont="1" applyBorder="1" applyAlignment="1">
      <alignment horizontal="center" vertical="center"/>
    </xf>
    <xf numFmtId="0" fontId="0" fillId="0" borderId="136" xfId="0" applyBorder="1" applyAlignment="1">
      <alignment vertical="center"/>
    </xf>
    <xf numFmtId="0" fontId="34" fillId="0" borderId="134" xfId="0" applyFont="1" applyBorder="1" applyAlignment="1">
      <alignment horizontal="center" vertical="center"/>
    </xf>
    <xf numFmtId="0" fontId="44" fillId="0" borderId="137" xfId="0" applyFont="1" applyBorder="1" applyAlignment="1">
      <alignment horizontal="center" vertical="center"/>
    </xf>
    <xf numFmtId="0" fontId="9" fillId="0" borderId="137" xfId="0" applyFont="1" applyBorder="1" applyAlignment="1">
      <alignment horizontal="center" vertical="center"/>
    </xf>
    <xf numFmtId="0" fontId="9" fillId="0" borderId="138" xfId="0" applyFont="1" applyBorder="1" applyAlignment="1">
      <alignment horizontal="center"/>
    </xf>
    <xf numFmtId="0" fontId="9" fillId="0" borderId="139" xfId="0" applyFont="1" applyBorder="1" applyAlignment="1">
      <alignment horizontal="center" vertical="center"/>
    </xf>
    <xf numFmtId="0" fontId="45" fillId="0" borderId="139" xfId="0" applyFont="1" applyBorder="1" applyAlignment="1">
      <alignment horizontal="center" vertical="center"/>
    </xf>
    <xf numFmtId="0" fontId="9" fillId="0" borderId="139" xfId="0" applyFont="1" applyBorder="1" applyAlignment="1">
      <alignment vertical="center"/>
    </xf>
    <xf numFmtId="0" fontId="0" fillId="0" borderId="139" xfId="0" applyBorder="1" applyAlignment="1">
      <alignment vertical="center"/>
    </xf>
    <xf numFmtId="0" fontId="72" fillId="0" borderId="139" xfId="0" applyFont="1" applyBorder="1" applyAlignment="1">
      <alignment vertical="center"/>
    </xf>
    <xf numFmtId="0" fontId="72" fillId="0" borderId="139" xfId="0" applyFont="1" applyBorder="1" applyAlignment="1">
      <alignment horizontal="right" vertical="center"/>
    </xf>
    <xf numFmtId="0" fontId="71" fillId="0" borderId="139" xfId="0" applyFont="1" applyBorder="1" applyAlignment="1">
      <alignment horizontal="left" vertical="center"/>
    </xf>
    <xf numFmtId="0" fontId="53" fillId="0" borderId="139" xfId="0" applyFont="1" applyBorder="1" applyAlignment="1">
      <alignment horizontal="center" vertical="center"/>
    </xf>
    <xf numFmtId="1" fontId="64" fillId="0" borderId="139" xfId="0" applyNumberFormat="1" applyFont="1" applyBorder="1" applyAlignment="1">
      <alignment horizontal="center" vertical="center"/>
    </xf>
    <xf numFmtId="0" fontId="0" fillId="0" borderId="98" xfId="0" applyBorder="1" applyAlignment="1">
      <alignment vertical="center"/>
    </xf>
    <xf numFmtId="0" fontId="0" fillId="0" borderId="142" xfId="0" applyBorder="1" applyAlignment="1">
      <alignment vertical="center"/>
    </xf>
    <xf numFmtId="0" fontId="9" fillId="0" borderId="144" xfId="0" applyFont="1" applyBorder="1" applyAlignment="1">
      <alignment vertical="center"/>
    </xf>
    <xf numFmtId="0" fontId="58" fillId="0" borderId="145" xfId="0" applyFont="1" applyBorder="1" applyAlignment="1">
      <alignment vertical="center"/>
    </xf>
    <xf numFmtId="0" fontId="43" fillId="0" borderId="146" xfId="0" applyFont="1" applyBorder="1" applyAlignment="1">
      <alignment vertical="center"/>
    </xf>
    <xf numFmtId="0" fontId="0" fillId="0" borderId="146" xfId="0" applyBorder="1" applyAlignment="1">
      <alignment vertical="center"/>
    </xf>
    <xf numFmtId="0" fontId="74" fillId="0" borderId="147" xfId="0" applyFont="1" applyBorder="1" applyAlignment="1">
      <alignment horizontal="center" vertical="center"/>
    </xf>
    <xf numFmtId="0" fontId="43" fillId="0" borderId="148" xfId="0" applyFont="1" applyBorder="1" applyAlignment="1">
      <alignment vertical="center"/>
    </xf>
    <xf numFmtId="0" fontId="9" fillId="0" borderId="149" xfId="0" applyFont="1" applyBorder="1" applyAlignment="1">
      <alignment horizontal="center" vertical="center"/>
    </xf>
    <xf numFmtId="0" fontId="37" fillId="0" borderId="54" xfId="0" applyFont="1" applyBorder="1" applyAlignment="1">
      <alignment vertical="center"/>
    </xf>
    <xf numFmtId="164" fontId="44" fillId="0" borderId="54" xfId="0" applyNumberFormat="1" applyFont="1" applyBorder="1" applyAlignment="1">
      <alignment horizontal="center" vertical="center"/>
    </xf>
    <xf numFmtId="0" fontId="9" fillId="0" borderId="144" xfId="0" applyFont="1" applyBorder="1" applyAlignment="1">
      <alignment horizontal="center" vertical="center"/>
    </xf>
    <xf numFmtId="0" fontId="9" fillId="0" borderId="150" xfId="0" applyFont="1" applyBorder="1" applyAlignment="1">
      <alignment horizontal="center" vertical="center"/>
    </xf>
    <xf numFmtId="0" fontId="9" fillId="0" borderId="151" xfId="0" applyFont="1" applyBorder="1" applyAlignment="1">
      <alignment horizontal="center" vertical="center"/>
    </xf>
    <xf numFmtId="0" fontId="9" fillId="0" borderId="152" xfId="0" applyFont="1" applyBorder="1" applyAlignment="1">
      <alignment horizontal="center" vertical="center"/>
    </xf>
    <xf numFmtId="164" fontId="44" fillId="0" borderId="8" xfId="0" applyNumberFormat="1" applyFont="1" applyBorder="1" applyAlignment="1">
      <alignment horizontal="center" vertical="center"/>
    </xf>
    <xf numFmtId="0" fontId="9" fillId="0" borderId="145" xfId="0" applyFont="1" applyBorder="1" applyAlignment="1">
      <alignment horizontal="center" vertical="center"/>
    </xf>
    <xf numFmtId="0" fontId="36" fillId="0" borderId="153" xfId="0" applyFont="1" applyBorder="1" applyAlignment="1">
      <alignment horizontal="right" vertical="center"/>
    </xf>
    <xf numFmtId="0" fontId="37" fillId="0" borderId="154" xfId="0" applyFont="1" applyBorder="1" applyAlignment="1">
      <alignment vertical="center"/>
    </xf>
    <xf numFmtId="0" fontId="37" fillId="0" borderId="146" xfId="0" applyFont="1" applyBorder="1" applyAlignment="1">
      <alignment vertical="center"/>
    </xf>
    <xf numFmtId="0" fontId="37" fillId="0" borderId="153" xfId="0" applyFont="1" applyBorder="1" applyAlignment="1">
      <alignment vertical="center"/>
    </xf>
    <xf numFmtId="164" fontId="44" fillId="0" borderId="147" xfId="0" applyNumberFormat="1" applyFont="1" applyBorder="1" applyAlignment="1">
      <alignment horizontal="center" vertical="center"/>
    </xf>
    <xf numFmtId="0" fontId="36" fillId="0" borderId="146" xfId="0" applyFont="1" applyBorder="1" applyAlignment="1">
      <alignment horizontal="left" vertical="center"/>
    </xf>
    <xf numFmtId="0" fontId="9" fillId="0" borderId="153" xfId="0" applyFont="1" applyBorder="1" applyAlignment="1">
      <alignment horizontal="center" vertical="center"/>
    </xf>
    <xf numFmtId="0" fontId="9" fillId="0" borderId="148" xfId="0" applyFont="1" applyBorder="1" applyAlignment="1">
      <alignment horizontal="center" vertical="center"/>
    </xf>
    <xf numFmtId="0" fontId="9" fillId="0" borderId="98" xfId="0" applyFont="1" applyBorder="1" applyAlignment="1">
      <alignment vertical="center"/>
    </xf>
    <xf numFmtId="0" fontId="12" fillId="0" borderId="98" xfId="0" applyFont="1" applyBorder="1" applyAlignment="1">
      <alignment vertical="center"/>
    </xf>
    <xf numFmtId="0" fontId="9" fillId="0" borderId="98" xfId="0" applyFont="1" applyBorder="1" applyAlignment="1">
      <alignment horizontal="right" vertical="center"/>
    </xf>
    <xf numFmtId="0" fontId="42" fillId="0" borderId="98" xfId="0" applyFont="1" applyBorder="1" applyAlignment="1">
      <alignment horizontal="left" vertical="center"/>
    </xf>
    <xf numFmtId="0" fontId="42" fillId="0" borderId="142" xfId="0" applyFont="1" applyBorder="1" applyAlignment="1">
      <alignment horizontal="left" vertical="center"/>
    </xf>
    <xf numFmtId="0" fontId="44" fillId="0" borderId="100" xfId="0" applyFont="1" applyBorder="1" applyAlignment="1">
      <alignment vertical="center"/>
    </xf>
    <xf numFmtId="0" fontId="9" fillId="0" borderId="100" xfId="0" applyFont="1" applyBorder="1" applyAlignment="1">
      <alignment vertical="center"/>
    </xf>
    <xf numFmtId="0" fontId="9" fillId="0" borderId="155" xfId="0" applyFont="1" applyBorder="1" applyAlignment="1">
      <alignment vertical="center"/>
    </xf>
    <xf numFmtId="0" fontId="9" fillId="0" borderId="156" xfId="0" applyFont="1" applyBorder="1" applyAlignment="1">
      <alignment horizontal="center" vertical="center"/>
    </xf>
    <xf numFmtId="0" fontId="36" fillId="0" borderId="157" xfId="0" applyFont="1" applyBorder="1" applyAlignment="1">
      <alignment horizontal="right" vertical="center"/>
    </xf>
    <xf numFmtId="0" fontId="37" fillId="0" borderId="140" xfId="0" applyFont="1" applyBorder="1" applyAlignment="1">
      <alignment vertical="center"/>
    </xf>
    <xf numFmtId="0" fontId="37" fillId="0" borderId="141" xfId="0" applyFont="1" applyBorder="1" applyAlignment="1">
      <alignment vertical="center"/>
    </xf>
    <xf numFmtId="0" fontId="37" fillId="0" borderId="157" xfId="0" applyFont="1" applyBorder="1" applyAlignment="1">
      <alignment horizontal="right" vertical="center"/>
    </xf>
    <xf numFmtId="0" fontId="36" fillId="0" borderId="141" xfId="0" applyFont="1" applyBorder="1" applyAlignment="1">
      <alignment horizontal="left" vertical="center"/>
    </xf>
    <xf numFmtId="0" fontId="47" fillId="0" borderId="98" xfId="0" applyFont="1" applyBorder="1" applyAlignment="1">
      <alignment horizontal="center" vertical="center"/>
    </xf>
    <xf numFmtId="0" fontId="9" fillId="0" borderId="141" xfId="0" applyFont="1" applyBorder="1" applyAlignment="1">
      <alignment horizontal="center" vertical="center"/>
    </xf>
    <xf numFmtId="0" fontId="34" fillId="0" borderId="141" xfId="0" applyFont="1" applyBorder="1" applyAlignment="1">
      <alignment horizontal="center" vertical="center"/>
    </xf>
    <xf numFmtId="0" fontId="44" fillId="0" borderId="141" xfId="0" applyFont="1" applyBorder="1" applyAlignment="1">
      <alignment horizontal="center" vertical="center"/>
    </xf>
    <xf numFmtId="0" fontId="9" fillId="0" borderId="158" xfId="0" applyFont="1" applyBorder="1" applyAlignment="1">
      <alignment horizontal="center" vertical="center"/>
    </xf>
    <xf numFmtId="0" fontId="75" fillId="0" borderId="3" xfId="0" applyFont="1" applyBorder="1" applyAlignment="1">
      <alignment vertical="center"/>
    </xf>
    <xf numFmtId="0" fontId="9" fillId="4" borderId="159" xfId="0" applyFont="1" applyFill="1" applyBorder="1" applyAlignment="1">
      <alignment horizontal="center" vertical="center"/>
    </xf>
    <xf numFmtId="0" fontId="36" fillId="0" borderId="160" xfId="0" applyFont="1" applyBorder="1" applyAlignment="1">
      <alignment horizontal="right" vertical="center"/>
    </xf>
    <xf numFmtId="0" fontId="37" fillId="0" borderId="161" xfId="0" applyFont="1" applyBorder="1" applyAlignment="1">
      <alignment vertical="center"/>
    </xf>
    <xf numFmtId="0" fontId="75" fillId="0" borderId="0" xfId="0" applyFont="1" applyAlignment="1">
      <alignment vertical="center"/>
    </xf>
    <xf numFmtId="1" fontId="38" fillId="0" borderId="160" xfId="0" applyNumberFormat="1" applyFont="1" applyBorder="1" applyAlignment="1">
      <alignment vertical="center"/>
    </xf>
    <xf numFmtId="0" fontId="36" fillId="0" borderId="0" xfId="0" applyFont="1" applyAlignment="1">
      <alignment horizontal="left" vertical="center"/>
    </xf>
    <xf numFmtId="0" fontId="34" fillId="0" borderId="1" xfId="0" applyFont="1" applyBorder="1" applyAlignment="1">
      <alignment horizontal="center" vertical="center"/>
    </xf>
    <xf numFmtId="0" fontId="44" fillId="0" borderId="0" xfId="0" applyFont="1" applyAlignment="1">
      <alignment horizontal="center" vertical="center"/>
    </xf>
    <xf numFmtId="0" fontId="9" fillId="0" borderId="162" xfId="0" applyFont="1" applyBorder="1" applyAlignment="1">
      <alignment horizontal="center" vertical="center"/>
    </xf>
    <xf numFmtId="0" fontId="9" fillId="7" borderId="145" xfId="0" applyFont="1" applyFill="1" applyBorder="1" applyAlignment="1">
      <alignment horizontal="center" vertical="center"/>
    </xf>
    <xf numFmtId="0" fontId="9" fillId="0" borderId="146" xfId="0" applyFont="1" applyBorder="1" applyAlignment="1">
      <alignment horizontal="center" vertical="center"/>
    </xf>
    <xf numFmtId="0" fontId="34" fillId="0" borderId="146" xfId="0" applyFont="1" applyBorder="1" applyAlignment="1">
      <alignment horizontal="center" vertical="center"/>
    </xf>
    <xf numFmtId="0" fontId="44" fillId="0" borderId="146" xfId="0" applyFont="1" applyBorder="1" applyAlignment="1">
      <alignment horizontal="center" vertical="center"/>
    </xf>
    <xf numFmtId="0" fontId="45" fillId="0" borderId="98" xfId="0" applyFont="1" applyBorder="1" applyAlignment="1">
      <alignment horizontal="center" vertical="center"/>
    </xf>
    <xf numFmtId="0" fontId="40" fillId="0" borderId="98" xfId="0" applyFont="1" applyBorder="1" applyAlignment="1">
      <alignment vertical="center"/>
    </xf>
    <xf numFmtId="0" fontId="34" fillId="0" borderId="147" xfId="0" applyFont="1" applyBorder="1" applyAlignment="1">
      <alignment vertical="center"/>
    </xf>
    <xf numFmtId="0" fontId="47" fillId="0" borderId="141" xfId="0" applyFont="1" applyBorder="1" applyAlignment="1">
      <alignment horizontal="center" vertical="center"/>
    </xf>
    <xf numFmtId="1" fontId="38" fillId="0" borderId="153" xfId="0" applyNumberFormat="1" applyFont="1" applyBorder="1" applyAlignment="1">
      <alignment vertical="center"/>
    </xf>
    <xf numFmtId="0" fontId="47" fillId="0" borderId="146" xfId="0" applyFont="1" applyBorder="1" applyAlignment="1">
      <alignment horizontal="center" vertical="center"/>
    </xf>
    <xf numFmtId="0" fontId="9" fillId="0" borderId="164" xfId="0" applyFont="1" applyBorder="1" applyAlignment="1">
      <alignment horizontal="center" vertical="center"/>
    </xf>
    <xf numFmtId="0" fontId="36" fillId="0" borderId="163" xfId="0" applyFont="1" applyBorder="1" applyAlignment="1">
      <alignment horizontal="right" vertical="center"/>
    </xf>
    <xf numFmtId="0" fontId="37" fillId="0" borderId="165" xfId="0" applyFont="1" applyBorder="1" applyAlignment="1">
      <alignment vertical="center"/>
    </xf>
    <xf numFmtId="0" fontId="37" fillId="0" borderId="100" xfId="0" applyFont="1" applyBorder="1" applyAlignment="1">
      <alignment vertical="center"/>
    </xf>
    <xf numFmtId="0" fontId="36" fillId="0" borderId="100" xfId="0" applyFont="1" applyBorder="1" applyAlignment="1">
      <alignment horizontal="left" vertical="center"/>
    </xf>
    <xf numFmtId="0" fontId="47" fillId="0" borderId="100" xfId="0" applyFont="1" applyBorder="1" applyAlignment="1">
      <alignment horizontal="center" vertical="center"/>
    </xf>
    <xf numFmtId="0" fontId="34" fillId="0" borderId="100" xfId="0" applyFont="1" applyBorder="1" applyAlignment="1">
      <alignment horizontal="center" vertical="center"/>
    </xf>
    <xf numFmtId="0" fontId="44" fillId="0" borderId="100" xfId="0" applyFont="1" applyBorder="1" applyAlignment="1">
      <alignment horizontal="center" vertical="center"/>
    </xf>
    <xf numFmtId="0" fontId="9" fillId="0" borderId="155" xfId="0" applyFont="1" applyBorder="1" applyAlignment="1">
      <alignment horizontal="center" vertical="center"/>
    </xf>
    <xf numFmtId="0" fontId="8" fillId="0" borderId="98" xfId="0" applyFont="1" applyBorder="1" applyAlignment="1">
      <alignment vertical="center"/>
    </xf>
    <xf numFmtId="0" fontId="37" fillId="0" borderId="54" xfId="0" applyFont="1" applyBorder="1" applyAlignment="1">
      <alignment horizontal="right" vertical="center"/>
    </xf>
    <xf numFmtId="0" fontId="47" fillId="0" borderId="0" xfId="0" applyFont="1" applyAlignment="1">
      <alignment horizontal="center" vertical="center"/>
    </xf>
    <xf numFmtId="0" fontId="47" fillId="0" borderId="3" xfId="0" applyFont="1" applyBorder="1" applyAlignment="1">
      <alignment horizontal="center" vertical="center"/>
    </xf>
    <xf numFmtId="0" fontId="47" fillId="0" borderId="2" xfId="0" applyFont="1" applyBorder="1" applyAlignment="1">
      <alignment horizontal="center" vertical="center"/>
    </xf>
    <xf numFmtId="0" fontId="34" fillId="0" borderId="2" xfId="0" applyFont="1" applyBorder="1" applyAlignment="1">
      <alignment horizontal="center" vertical="center"/>
    </xf>
    <xf numFmtId="0" fontId="9" fillId="0" borderId="162" xfId="0" applyFont="1" applyBorder="1" applyAlignment="1">
      <alignment vertical="center"/>
    </xf>
    <xf numFmtId="168" fontId="8" fillId="0" borderId="0" xfId="1" applyNumberFormat="1" applyFont="1" applyFill="1" applyAlignment="1">
      <alignment vertical="center"/>
    </xf>
    <xf numFmtId="0" fontId="9" fillId="7" borderId="150" xfId="0" applyFont="1" applyFill="1" applyBorder="1" applyAlignment="1">
      <alignment horizontal="center" vertical="center"/>
    </xf>
    <xf numFmtId="0" fontId="40" fillId="0" borderId="98" xfId="0" applyFont="1" applyBorder="1" applyAlignment="1">
      <alignment horizontal="left" vertical="center"/>
    </xf>
    <xf numFmtId="0" fontId="40" fillId="0" borderId="100" xfId="0" applyFont="1" applyBorder="1" applyAlignment="1">
      <alignment horizontal="left" vertical="center"/>
    </xf>
    <xf numFmtId="0" fontId="37" fillId="0" borderId="163" xfId="0" applyFont="1" applyBorder="1" applyAlignment="1">
      <alignment vertical="center"/>
    </xf>
    <xf numFmtId="1" fontId="38" fillId="0" borderId="100" xfId="0" applyNumberFormat="1" applyFont="1" applyBorder="1" applyAlignment="1">
      <alignment vertical="center"/>
    </xf>
    <xf numFmtId="1" fontId="77" fillId="0" borderId="100" xfId="0" applyNumberFormat="1" applyFont="1" applyBorder="1" applyAlignment="1">
      <alignment horizontal="center" vertical="center"/>
    </xf>
    <xf numFmtId="1" fontId="77" fillId="0" borderId="155" xfId="0" applyNumberFormat="1" applyFont="1" applyBorder="1" applyAlignment="1">
      <alignment horizontal="center" vertical="center"/>
    </xf>
    <xf numFmtId="0" fontId="40" fillId="0" borderId="167" xfId="0" applyFont="1" applyBorder="1" applyAlignment="1">
      <alignment horizontal="left" vertical="center"/>
    </xf>
    <xf numFmtId="0" fontId="0" fillId="0" borderId="169" xfId="0" applyBorder="1" applyAlignment="1">
      <alignment vertical="center"/>
    </xf>
    <xf numFmtId="0" fontId="40" fillId="0" borderId="137" xfId="0" applyFont="1" applyBorder="1" applyAlignment="1">
      <alignment horizontal="left" vertical="center"/>
    </xf>
    <xf numFmtId="0" fontId="9" fillId="0" borderId="171" xfId="0" applyFont="1" applyBorder="1" applyAlignment="1">
      <alignment vertical="center"/>
    </xf>
    <xf numFmtId="0" fontId="9" fillId="0" borderId="172" xfId="0" applyFont="1" applyBorder="1" applyAlignment="1">
      <alignment horizontal="center" vertical="center"/>
    </xf>
    <xf numFmtId="0" fontId="36" fillId="0" borderId="173" xfId="0" applyFont="1" applyBorder="1" applyAlignment="1">
      <alignment horizontal="right" vertical="center"/>
    </xf>
    <xf numFmtId="0" fontId="37" fillId="0" borderId="168" xfId="0" applyFont="1" applyBorder="1" applyAlignment="1">
      <alignment vertical="center"/>
    </xf>
    <xf numFmtId="0" fontId="37" fillId="0" borderId="168" xfId="0" applyFont="1" applyBorder="1" applyAlignment="1">
      <alignment horizontal="right" vertical="center"/>
    </xf>
    <xf numFmtId="0" fontId="58" fillId="0" borderId="174" xfId="0" applyFont="1" applyBorder="1" applyAlignment="1">
      <alignment horizontal="left" vertical="center"/>
    </xf>
    <xf numFmtId="0" fontId="9" fillId="0" borderId="168" xfId="0" applyFont="1" applyBorder="1" applyAlignment="1">
      <alignment horizontal="center" vertical="center"/>
    </xf>
    <xf numFmtId="0" fontId="0" fillId="0" borderId="168" xfId="0" applyBorder="1" applyAlignment="1">
      <alignment vertical="center"/>
    </xf>
    <xf numFmtId="0" fontId="34" fillId="0" borderId="168" xfId="0" applyFont="1" applyBorder="1" applyAlignment="1">
      <alignment horizontal="center" vertical="center"/>
    </xf>
    <xf numFmtId="0" fontId="44" fillId="0" borderId="168" xfId="0" applyFont="1" applyBorder="1" applyAlignment="1">
      <alignment horizontal="center" vertical="center"/>
    </xf>
    <xf numFmtId="0" fontId="9" fillId="0" borderId="113" xfId="0" applyFont="1" applyBorder="1" applyAlignment="1">
      <alignment horizontal="center" vertical="center"/>
    </xf>
    <xf numFmtId="0" fontId="36" fillId="0" borderId="175" xfId="0" applyFont="1" applyBorder="1" applyAlignment="1">
      <alignment horizontal="left" vertical="center"/>
    </xf>
    <xf numFmtId="0" fontId="36" fillId="0" borderId="76" xfId="0" applyFont="1" applyBorder="1" applyAlignment="1">
      <alignment horizontal="left" vertical="center"/>
    </xf>
    <xf numFmtId="0" fontId="36" fillId="0" borderId="140" xfId="0" applyFont="1" applyBorder="1" applyAlignment="1">
      <alignment horizontal="left" vertical="center"/>
    </xf>
    <xf numFmtId="0" fontId="36" fillId="0" borderId="154" xfId="0" applyFont="1" applyBorder="1" applyAlignment="1">
      <alignment horizontal="left" vertical="center"/>
    </xf>
    <xf numFmtId="0" fontId="39" fillId="0" borderId="157" xfId="0" applyFont="1" applyBorder="1" applyAlignment="1">
      <alignment horizontal="right" vertical="center"/>
    </xf>
    <xf numFmtId="0" fontId="9" fillId="6" borderId="141" xfId="0" applyFont="1" applyFill="1" applyBorder="1" applyAlignment="1">
      <alignment horizontal="center" vertical="center"/>
    </xf>
    <xf numFmtId="0" fontId="39" fillId="0" borderId="153" xfId="0" applyFont="1" applyBorder="1" applyAlignment="1">
      <alignment horizontal="right" vertical="center"/>
    </xf>
    <xf numFmtId="0" fontId="9" fillId="6" borderId="2" xfId="0" applyFont="1" applyFill="1" applyBorder="1" applyAlignment="1">
      <alignment horizontal="center" vertical="center"/>
    </xf>
    <xf numFmtId="0" fontId="8" fillId="0" borderId="139" xfId="0" applyFont="1" applyBorder="1" applyAlignment="1">
      <alignment vertical="center"/>
    </xf>
    <xf numFmtId="0" fontId="12" fillId="0" borderId="139" xfId="0" applyFont="1" applyBorder="1" applyAlignment="1">
      <alignment vertical="center"/>
    </xf>
    <xf numFmtId="0" fontId="0" fillId="0" borderId="177" xfId="0" applyBorder="1" applyAlignment="1">
      <alignment vertical="center"/>
    </xf>
    <xf numFmtId="0" fontId="44" fillId="0" borderId="179" xfId="0" applyFont="1" applyBorder="1" applyAlignment="1">
      <alignment vertical="center"/>
    </xf>
    <xf numFmtId="0" fontId="9" fillId="0" borderId="179" xfId="0" applyFont="1" applyBorder="1" applyAlignment="1">
      <alignment vertical="center"/>
    </xf>
    <xf numFmtId="0" fontId="45" fillId="0" borderId="179" xfId="0" applyFont="1" applyBorder="1" applyAlignment="1">
      <alignment vertical="center"/>
    </xf>
    <xf numFmtId="0" fontId="9" fillId="0" borderId="180" xfId="0" applyFont="1" applyBorder="1" applyAlignment="1">
      <alignment horizontal="right" vertical="center"/>
    </xf>
    <xf numFmtId="0" fontId="9" fillId="0" borderId="181" xfId="0" applyFont="1" applyBorder="1" applyAlignment="1">
      <alignment horizontal="center" vertical="center"/>
    </xf>
    <xf numFmtId="0" fontId="36" fillId="0" borderId="182" xfId="0" applyFont="1" applyBorder="1" applyAlignment="1">
      <alignment horizontal="right" vertical="center"/>
    </xf>
    <xf numFmtId="0" fontId="37" fillId="0" borderId="183" xfId="0" applyFont="1" applyBorder="1" applyAlignment="1">
      <alignment vertical="center"/>
    </xf>
    <xf numFmtId="0" fontId="37" fillId="0" borderId="184" xfId="0" applyFont="1" applyBorder="1" applyAlignment="1">
      <alignment vertical="center"/>
    </xf>
    <xf numFmtId="0" fontId="37" fillId="0" borderId="184" xfId="0" applyFont="1" applyBorder="1" applyAlignment="1">
      <alignment horizontal="right" vertical="center"/>
    </xf>
    <xf numFmtId="0" fontId="36" fillId="0" borderId="183" xfId="0" applyFont="1" applyBorder="1" applyAlignment="1">
      <alignment horizontal="left" vertical="center"/>
    </xf>
    <xf numFmtId="0" fontId="9" fillId="0" borderId="184" xfId="0" applyFont="1" applyBorder="1" applyAlignment="1">
      <alignment horizontal="center" vertical="center"/>
    </xf>
    <xf numFmtId="0" fontId="50" fillId="0" borderId="184" xfId="0" applyFont="1" applyBorder="1" applyAlignment="1">
      <alignment horizontal="center" vertical="center"/>
    </xf>
    <xf numFmtId="0" fontId="34" fillId="0" borderId="184" xfId="0" applyFont="1" applyBorder="1" applyAlignment="1">
      <alignment horizontal="center" vertical="center"/>
    </xf>
    <xf numFmtId="0" fontId="44" fillId="0" borderId="184" xfId="0" applyFont="1" applyBorder="1" applyAlignment="1">
      <alignment horizontal="center" vertical="center"/>
    </xf>
    <xf numFmtId="0" fontId="0" fillId="0" borderId="185" xfId="0" applyBorder="1" applyAlignment="1">
      <alignment horizontal="right" vertical="center"/>
    </xf>
    <xf numFmtId="0" fontId="9" fillId="0" borderId="186" xfId="0" applyFont="1" applyBorder="1" applyAlignment="1">
      <alignment horizontal="center" vertical="center"/>
    </xf>
    <xf numFmtId="0" fontId="0" fillId="0" borderId="187" xfId="0" applyBorder="1" applyAlignment="1">
      <alignment horizontal="right" vertical="center"/>
    </xf>
    <xf numFmtId="0" fontId="9" fillId="0" borderId="188" xfId="0" applyFont="1" applyBorder="1" applyAlignment="1">
      <alignment horizontal="center" vertical="center"/>
    </xf>
    <xf numFmtId="0" fontId="36" fillId="0" borderId="189" xfId="0" applyFont="1" applyBorder="1" applyAlignment="1">
      <alignment horizontal="right" vertical="center"/>
    </xf>
    <xf numFmtId="0" fontId="37" fillId="0" borderId="190" xfId="0" applyFont="1" applyBorder="1" applyAlignment="1">
      <alignment vertical="center"/>
    </xf>
    <xf numFmtId="0" fontId="37" fillId="0" borderId="191" xfId="0" applyFont="1" applyBorder="1" applyAlignment="1">
      <alignment vertical="center"/>
    </xf>
    <xf numFmtId="0" fontId="37" fillId="0" borderId="189" xfId="0" applyFont="1" applyBorder="1" applyAlignment="1">
      <alignment horizontal="right" vertical="center"/>
    </xf>
    <xf numFmtId="0" fontId="36" fillId="0" borderId="191" xfId="0" applyFont="1" applyBorder="1" applyAlignment="1">
      <alignment horizontal="left" vertical="center"/>
    </xf>
    <xf numFmtId="0" fontId="9" fillId="0" borderId="191" xfId="0" applyFont="1" applyBorder="1" applyAlignment="1">
      <alignment horizontal="center" vertical="center"/>
    </xf>
    <xf numFmtId="0" fontId="50" fillId="0" borderId="191" xfId="0" applyFont="1" applyBorder="1" applyAlignment="1">
      <alignment horizontal="center" vertical="center"/>
    </xf>
    <xf numFmtId="0" fontId="34" fillId="0" borderId="191" xfId="0" applyFont="1" applyBorder="1" applyAlignment="1">
      <alignment horizontal="center" vertical="center"/>
    </xf>
    <xf numFmtId="0" fontId="44" fillId="0" borderId="191" xfId="0" applyFont="1" applyBorder="1" applyAlignment="1">
      <alignment horizontal="center" vertical="center"/>
    </xf>
    <xf numFmtId="0" fontId="9" fillId="0" borderId="192" xfId="0" applyFont="1" applyBorder="1" applyAlignment="1">
      <alignment horizontal="center" vertical="center"/>
    </xf>
    <xf numFmtId="0" fontId="40" fillId="0" borderId="2" xfId="0" applyFont="1" applyBorder="1" applyAlignment="1">
      <alignment vertical="center"/>
    </xf>
    <xf numFmtId="0" fontId="38" fillId="0" borderId="2" xfId="0" applyFont="1" applyBorder="1" applyAlignment="1">
      <alignment horizontal="right" vertical="center"/>
    </xf>
    <xf numFmtId="0" fontId="34" fillId="0" borderId="4" xfId="0" applyFont="1" applyBorder="1" applyAlignment="1">
      <alignment vertical="center"/>
    </xf>
    <xf numFmtId="0" fontId="9" fillId="0" borderId="54" xfId="0" applyFont="1" applyBorder="1" applyAlignment="1">
      <alignment horizontal="right" vertical="center"/>
    </xf>
    <xf numFmtId="0" fontId="31" fillId="0" borderId="3" xfId="0" applyFont="1" applyBorder="1" applyAlignment="1">
      <alignment vertical="center"/>
    </xf>
    <xf numFmtId="0" fontId="0" fillId="0" borderId="3" xfId="0" applyBorder="1" applyAlignment="1">
      <alignment vertical="center"/>
    </xf>
    <xf numFmtId="0" fontId="12" fillId="0" borderId="3" xfId="0" applyFont="1" applyBorder="1" applyAlignment="1">
      <alignment vertical="center"/>
    </xf>
    <xf numFmtId="0" fontId="0" fillId="0" borderId="8" xfId="0" applyBorder="1" applyAlignment="1">
      <alignment horizontal="right" vertical="center"/>
    </xf>
    <xf numFmtId="0" fontId="31" fillId="0" borderId="2" xfId="0" applyFont="1" applyBorder="1" applyAlignment="1">
      <alignment vertical="center"/>
    </xf>
    <xf numFmtId="0" fontId="12" fillId="0" borderId="2" xfId="0" applyFont="1" applyBorder="1" applyAlignment="1">
      <alignment vertical="center"/>
    </xf>
    <xf numFmtId="0" fontId="31" fillId="0" borderId="1" xfId="0" applyFont="1" applyBorder="1" applyAlignment="1">
      <alignment vertical="center"/>
    </xf>
    <xf numFmtId="0" fontId="45" fillId="0" borderId="1" xfId="0" applyFont="1" applyBorder="1" applyAlignment="1">
      <alignment horizontal="center" vertical="center"/>
    </xf>
    <xf numFmtId="0" fontId="8" fillId="0" borderId="1" xfId="0" applyFont="1" applyBorder="1" applyAlignment="1">
      <alignment vertical="center"/>
    </xf>
    <xf numFmtId="0" fontId="78" fillId="0" borderId="3" xfId="0" applyFont="1" applyBorder="1" applyAlignment="1">
      <alignment vertical="center"/>
    </xf>
    <xf numFmtId="0" fontId="11" fillId="0" borderId="3" xfId="0" applyFont="1" applyBorder="1" applyAlignment="1">
      <alignment horizontal="center" vertical="center"/>
    </xf>
    <xf numFmtId="0" fontId="36" fillId="0" borderId="1" xfId="0" applyFont="1" applyBorder="1" applyAlignment="1">
      <alignment horizontal="right" vertical="center"/>
    </xf>
    <xf numFmtId="0" fontId="9" fillId="0" borderId="55" xfId="0" applyFont="1" applyBorder="1" applyAlignment="1">
      <alignment horizontal="center" vertical="center"/>
    </xf>
    <xf numFmtId="0" fontId="0" fillId="0" borderId="0" xfId="0" applyFill="1"/>
    <xf numFmtId="0" fontId="81" fillId="0" borderId="0" xfId="0" applyFont="1"/>
    <xf numFmtId="0" fontId="82" fillId="0" borderId="0" xfId="0" applyFont="1" applyAlignment="1">
      <alignment horizontal="center" vertical="center"/>
    </xf>
    <xf numFmtId="0" fontId="84" fillId="0" borderId="0" xfId="0" applyFont="1"/>
    <xf numFmtId="0" fontId="85" fillId="0" borderId="0" xfId="0" applyFont="1"/>
    <xf numFmtId="0" fontId="86" fillId="0" borderId="0" xfId="0" applyFont="1"/>
    <xf numFmtId="0" fontId="84" fillId="0" borderId="0" xfId="0" applyFont="1" applyAlignment="1">
      <alignment horizontal="left"/>
    </xf>
    <xf numFmtId="0" fontId="81" fillId="0" borderId="0" xfId="0" applyFont="1" applyAlignment="1">
      <alignment horizontal="right"/>
    </xf>
    <xf numFmtId="166" fontId="84" fillId="0" borderId="0" xfId="0" applyNumberFormat="1" applyFont="1"/>
    <xf numFmtId="0" fontId="81" fillId="0" borderId="4" xfId="0" applyFont="1" applyBorder="1"/>
    <xf numFmtId="0" fontId="81" fillId="0" borderId="160" xfId="0" applyFont="1" applyBorder="1"/>
    <xf numFmtId="0" fontId="84" fillId="0" borderId="75" xfId="0" applyFont="1" applyBorder="1"/>
    <xf numFmtId="0" fontId="81" fillId="0" borderId="9" xfId="0" applyFont="1" applyBorder="1"/>
    <xf numFmtId="0" fontId="84" fillId="0" borderId="8" xfId="0" applyFont="1" applyBorder="1" applyAlignment="1">
      <alignment horizontal="right"/>
    </xf>
    <xf numFmtId="0" fontId="84" fillId="0" borderId="4" xfId="0" applyFont="1" applyBorder="1"/>
    <xf numFmtId="0" fontId="84" fillId="0" borderId="74" xfId="0" applyFont="1" applyBorder="1" applyAlignment="1">
      <alignment horizontal="right"/>
    </xf>
    <xf numFmtId="0" fontId="50" fillId="11" borderId="193" xfId="0" applyFont="1" applyFill="1" applyBorder="1" applyAlignment="1">
      <alignment vertical="center"/>
    </xf>
    <xf numFmtId="0" fontId="87" fillId="11" borderId="194" xfId="0" applyFont="1" applyFill="1" applyBorder="1" applyAlignment="1">
      <alignment horizontal="left" vertical="center"/>
    </xf>
    <xf numFmtId="0" fontId="87" fillId="11" borderId="129" xfId="0" applyFont="1" applyFill="1" applyBorder="1" applyAlignment="1">
      <alignment horizontal="left" vertical="center"/>
    </xf>
    <xf numFmtId="0" fontId="87" fillId="11" borderId="195" xfId="0" applyFont="1" applyFill="1" applyBorder="1" applyAlignment="1">
      <alignment vertical="center"/>
    </xf>
    <xf numFmtId="0" fontId="87" fillId="11" borderId="129" xfId="0" applyFont="1" applyFill="1" applyBorder="1" applyAlignment="1">
      <alignment vertical="center"/>
    </xf>
    <xf numFmtId="0" fontId="45" fillId="11" borderId="129" xfId="0" applyFont="1" applyFill="1" applyBorder="1" applyAlignment="1">
      <alignment vertical="center"/>
    </xf>
    <xf numFmtId="0" fontId="45" fillId="11" borderId="0" xfId="0" applyFont="1" applyFill="1" applyAlignment="1">
      <alignment vertical="center"/>
    </xf>
    <xf numFmtId="0" fontId="50" fillId="11" borderId="129" xfId="0" applyFont="1" applyFill="1" applyBorder="1" applyAlignment="1">
      <alignment vertical="center"/>
    </xf>
    <xf numFmtId="0" fontId="50" fillId="11" borderId="193" xfId="0" applyFont="1" applyFill="1" applyBorder="1" applyAlignment="1">
      <alignment horizontal="center" vertical="center"/>
    </xf>
    <xf numFmtId="0" fontId="31" fillId="0" borderId="193" xfId="0" applyFont="1" applyFill="1" applyBorder="1" applyAlignment="1">
      <alignment vertical="center"/>
    </xf>
    <xf numFmtId="0" fontId="0" fillId="0" borderId="194" xfId="0" applyFill="1" applyBorder="1" applyAlignment="1">
      <alignment horizontal="center" vertical="center"/>
    </xf>
    <xf numFmtId="0" fontId="0" fillId="0" borderId="129" xfId="0" applyFill="1" applyBorder="1" applyAlignment="1">
      <alignment horizontal="center" vertical="center"/>
    </xf>
    <xf numFmtId="0" fontId="0" fillId="0" borderId="129" xfId="0" applyFill="1" applyBorder="1" applyAlignment="1">
      <alignment vertical="center"/>
    </xf>
    <xf numFmtId="0" fontId="0" fillId="0" borderId="195" xfId="0" applyFill="1" applyBorder="1" applyAlignment="1">
      <alignment vertical="center"/>
    </xf>
    <xf numFmtId="0" fontId="31" fillId="0" borderId="129" xfId="0" applyFont="1" applyFill="1" applyBorder="1" applyAlignment="1">
      <alignment vertical="center"/>
    </xf>
    <xf numFmtId="0" fontId="31" fillId="0" borderId="0" xfId="0" applyFont="1" applyFill="1" applyAlignment="1">
      <alignment horizontal="center"/>
    </xf>
    <xf numFmtId="0" fontId="31" fillId="0" borderId="0" xfId="0" applyFont="1" applyFill="1" applyAlignment="1">
      <alignment horizontal="center" vertical="center"/>
    </xf>
    <xf numFmtId="0" fontId="0" fillId="2" borderId="194" xfId="0" applyFill="1" applyBorder="1" applyAlignment="1">
      <alignment horizontal="center" vertical="center"/>
    </xf>
    <xf numFmtId="0" fontId="0" fillId="2" borderId="129" xfId="0" applyFill="1" applyBorder="1" applyAlignment="1">
      <alignment horizontal="center" vertical="center"/>
    </xf>
    <xf numFmtId="0" fontId="0" fillId="2" borderId="129" xfId="0" applyFill="1" applyBorder="1" applyAlignment="1">
      <alignment vertical="center"/>
    </xf>
    <xf numFmtId="0" fontId="0" fillId="2" borderId="195" xfId="0" applyFill="1" applyBorder="1" applyAlignment="1">
      <alignment vertical="center"/>
    </xf>
    <xf numFmtId="0" fontId="0" fillId="0" borderId="193" xfId="0" applyFill="1" applyBorder="1" applyAlignment="1">
      <alignment vertical="center"/>
    </xf>
    <xf numFmtId="0" fontId="0" fillId="0" borderId="194" xfId="0" applyBorder="1" applyAlignment="1">
      <alignment horizontal="center" vertical="center"/>
    </xf>
    <xf numFmtId="0" fontId="0" fillId="0" borderId="129" xfId="0" applyBorder="1" applyAlignment="1">
      <alignment horizontal="center" vertical="center"/>
    </xf>
    <xf numFmtId="0" fontId="0" fillId="0" borderId="195" xfId="0" applyBorder="1" applyAlignment="1">
      <alignment vertical="center"/>
    </xf>
    <xf numFmtId="0" fontId="0" fillId="0" borderId="0" xfId="0" applyFill="1" applyAlignment="1">
      <alignment vertical="center"/>
    </xf>
    <xf numFmtId="0" fontId="31" fillId="0" borderId="193" xfId="0" applyFont="1" applyFill="1" applyBorder="1"/>
    <xf numFmtId="0" fontId="31" fillId="0" borderId="129" xfId="0" applyFont="1" applyFill="1" applyBorder="1"/>
    <xf numFmtId="0" fontId="0" fillId="0" borderId="194" xfId="0" applyFill="1" applyBorder="1" applyAlignment="1">
      <alignment horizontal="left" vertical="center"/>
    </xf>
    <xf numFmtId="0" fontId="0" fillId="2" borderId="194" xfId="0" applyFill="1" applyBorder="1" applyAlignment="1">
      <alignment horizontal="left" vertical="center"/>
    </xf>
    <xf numFmtId="0" fontId="0" fillId="2" borderId="129" xfId="0" applyFill="1" applyBorder="1" applyAlignment="1">
      <alignment horizontal="left" vertical="center"/>
    </xf>
    <xf numFmtId="0" fontId="31" fillId="0" borderId="0" xfId="0" applyFont="1" applyFill="1"/>
    <xf numFmtId="0" fontId="0" fillId="0" borderId="161" xfId="0" applyFill="1" applyBorder="1" applyAlignment="1">
      <alignment horizontal="left"/>
    </xf>
    <xf numFmtId="0" fontId="0" fillId="0" borderId="160" xfId="0" applyFill="1" applyBorder="1"/>
    <xf numFmtId="0" fontId="0" fillId="2" borderId="161" xfId="0" applyFill="1" applyBorder="1" applyAlignment="1">
      <alignment horizontal="left"/>
    </xf>
    <xf numFmtId="0" fontId="0" fillId="2" borderId="0" xfId="0" applyFill="1"/>
    <xf numFmtId="0" fontId="0" fillId="2" borderId="160" xfId="0" applyFill="1" applyBorder="1"/>
    <xf numFmtId="0" fontId="0" fillId="2" borderId="0" xfId="0" applyFill="1" applyAlignment="1">
      <alignment horizontal="left"/>
    </xf>
    <xf numFmtId="0" fontId="0" fillId="0" borderId="129" xfId="0" applyFill="1" applyBorder="1" applyAlignment="1">
      <alignment horizontal="left" vertical="center"/>
    </xf>
    <xf numFmtId="0" fontId="31" fillId="0" borderId="193" xfId="0" applyFont="1" applyFill="1" applyBorder="1" applyAlignment="1">
      <alignment horizontal="left" vertical="center"/>
    </xf>
    <xf numFmtId="0" fontId="31" fillId="0" borderId="129" xfId="0" applyFont="1" applyFill="1" applyBorder="1" applyAlignment="1">
      <alignment horizontal="left" vertical="center"/>
    </xf>
    <xf numFmtId="0" fontId="0" fillId="0" borderId="161" xfId="0" applyFill="1" applyBorder="1"/>
    <xf numFmtId="0" fontId="0" fillId="2" borderId="161" xfId="0" applyFill="1" applyBorder="1"/>
    <xf numFmtId="0" fontId="0" fillId="0" borderId="161" xfId="0" applyBorder="1"/>
    <xf numFmtId="0" fontId="0" fillId="0" borderId="160" xfId="0" applyBorder="1"/>
    <xf numFmtId="0" fontId="0" fillId="0" borderId="161" xfId="0" applyBorder="1" applyAlignment="1">
      <alignment horizontal="left"/>
    </xf>
    <xf numFmtId="0" fontId="31" fillId="0" borderId="0" xfId="0" applyFont="1" applyFill="1" applyAlignment="1">
      <alignment horizontal="left" vertical="center"/>
    </xf>
    <xf numFmtId="0" fontId="31" fillId="0" borderId="0" xfId="0" applyFont="1"/>
    <xf numFmtId="0" fontId="31" fillId="0" borderId="0" xfId="0" applyFont="1" applyAlignment="1">
      <alignment horizontal="center"/>
    </xf>
    <xf numFmtId="0" fontId="31" fillId="0" borderId="0" xfId="0" applyFont="1" applyAlignment="1">
      <alignment horizontal="center" vertical="center"/>
    </xf>
    <xf numFmtId="0" fontId="8" fillId="0" borderId="0" xfId="0" applyFont="1" applyFill="1" applyAlignment="1">
      <alignment horizontal="center" vertical="center"/>
    </xf>
    <xf numFmtId="0" fontId="88" fillId="0" borderId="41" xfId="0" applyFont="1" applyFill="1" applyBorder="1" applyAlignment="1">
      <alignment horizontal="center" vertical="center"/>
    </xf>
    <xf numFmtId="0" fontId="89" fillId="0" borderId="8" xfId="0" applyFont="1" applyFill="1" applyBorder="1" applyAlignment="1">
      <alignment horizontal="right" vertical="center"/>
    </xf>
    <xf numFmtId="0" fontId="37" fillId="0" borderId="193" xfId="0" applyFont="1" applyFill="1" applyBorder="1" applyAlignment="1">
      <alignment vertical="center"/>
    </xf>
    <xf numFmtId="0" fontId="9" fillId="0" borderId="0" xfId="0" applyFont="1" applyBorder="1" applyAlignment="1">
      <alignment horizontal="center" vertical="center"/>
    </xf>
    <xf numFmtId="0" fontId="6" fillId="0" borderId="0" xfId="0" applyFont="1" applyAlignment="1">
      <alignment vertical="center"/>
    </xf>
    <xf numFmtId="0" fontId="93" fillId="0" borderId="0" xfId="0" applyFont="1" applyBorder="1" applyAlignment="1">
      <alignment vertical="center"/>
    </xf>
    <xf numFmtId="0" fontId="93" fillId="0" borderId="0" xfId="0" applyFont="1" applyBorder="1" applyAlignment="1">
      <alignment horizontal="left" vertical="center"/>
    </xf>
    <xf numFmtId="0" fontId="45" fillId="0" borderId="0"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9" fillId="0" borderId="0" xfId="0" applyFont="1" applyBorder="1" applyAlignment="1">
      <alignment horizontal="right" vertical="center"/>
    </xf>
    <xf numFmtId="0" fontId="44" fillId="0" borderId="0" xfId="0" applyFont="1" applyBorder="1" applyAlignment="1">
      <alignment vertical="center"/>
    </xf>
    <xf numFmtId="0" fontId="37" fillId="0" borderId="225" xfId="0" applyFont="1" applyBorder="1" applyAlignment="1">
      <alignment vertical="center"/>
    </xf>
    <xf numFmtId="0" fontId="37" fillId="0" borderId="226" xfId="0" applyFont="1" applyBorder="1" applyAlignment="1">
      <alignment horizontal="right" vertical="center"/>
    </xf>
    <xf numFmtId="0" fontId="36" fillId="0" borderId="224" xfId="0" applyFont="1" applyBorder="1" applyAlignment="1">
      <alignment horizontal="left" vertical="center"/>
    </xf>
    <xf numFmtId="0" fontId="9" fillId="0" borderId="225" xfId="0" applyFont="1" applyBorder="1" applyAlignment="1">
      <alignment horizontal="center" vertical="center"/>
    </xf>
    <xf numFmtId="0" fontId="104" fillId="0" borderId="0" xfId="0" applyFont="1" applyAlignment="1">
      <alignment vertical="center"/>
    </xf>
    <xf numFmtId="0" fontId="41" fillId="0" borderId="97" xfId="0" applyFont="1" applyFill="1" applyBorder="1" applyAlignment="1">
      <alignment vertical="center"/>
    </xf>
    <xf numFmtId="0" fontId="0" fillId="0" borderId="168" xfId="0" applyFill="1" applyBorder="1" applyAlignment="1"/>
    <xf numFmtId="1" fontId="64" fillId="0" borderId="107" xfId="0" applyNumberFormat="1" applyFont="1" applyFill="1" applyBorder="1" applyAlignment="1">
      <alignment vertical="center"/>
    </xf>
    <xf numFmtId="1" fontId="38" fillId="0" borderId="4" xfId="0" applyNumberFormat="1" applyFont="1" applyFill="1" applyBorder="1" applyAlignment="1">
      <alignment vertical="center"/>
    </xf>
    <xf numFmtId="1" fontId="38" fillId="0" borderId="147" xfId="0" applyNumberFormat="1" applyFont="1" applyFill="1" applyBorder="1" applyAlignment="1">
      <alignment vertical="center"/>
    </xf>
    <xf numFmtId="0" fontId="101" fillId="0" borderId="13" xfId="0" applyFont="1" applyBorder="1" applyAlignment="1">
      <alignment vertical="center"/>
    </xf>
    <xf numFmtId="0" fontId="101" fillId="0" borderId="14" xfId="0" applyFont="1" applyBorder="1" applyAlignment="1">
      <alignment vertical="center"/>
    </xf>
    <xf numFmtId="0" fontId="0" fillId="0" borderId="167" xfId="0" applyFill="1" applyBorder="1" applyAlignment="1"/>
    <xf numFmtId="0" fontId="0" fillId="0" borderId="169" xfId="0" applyFill="1" applyBorder="1" applyAlignment="1"/>
    <xf numFmtId="0" fontId="0" fillId="0" borderId="137" xfId="0" applyFill="1" applyBorder="1" applyAlignment="1"/>
    <xf numFmtId="0" fontId="0" fillId="0" borderId="171" xfId="0" applyFill="1" applyBorder="1" applyAlignment="1"/>
    <xf numFmtId="0" fontId="0" fillId="0" borderId="2" xfId="0" applyFill="1" applyBorder="1" applyAlignment="1">
      <alignment vertical="center"/>
    </xf>
    <xf numFmtId="0" fontId="0" fillId="0" borderId="228" xfId="0" applyFill="1" applyBorder="1" applyAlignment="1">
      <alignment vertical="center"/>
    </xf>
    <xf numFmtId="0" fontId="34" fillId="0" borderId="228" xfId="0" applyFont="1" applyFill="1" applyBorder="1" applyAlignment="1">
      <alignment horizontal="center" vertical="center"/>
    </xf>
    <xf numFmtId="0" fontId="9" fillId="0" borderId="228" xfId="0" applyFont="1" applyFill="1" applyBorder="1" applyAlignment="1">
      <alignment horizontal="center" vertical="center"/>
    </xf>
    <xf numFmtId="0" fontId="9" fillId="0" borderId="229" xfId="0" applyFont="1" applyBorder="1" applyAlignment="1">
      <alignment horizontal="center" vertical="center"/>
    </xf>
    <xf numFmtId="0" fontId="50" fillId="0" borderId="2" xfId="0" applyFont="1" applyBorder="1" applyAlignment="1">
      <alignment horizontal="center" vertical="center"/>
    </xf>
    <xf numFmtId="0" fontId="0" fillId="0" borderId="230" xfId="0" applyBorder="1" applyAlignment="1">
      <alignment horizontal="right" vertical="center"/>
    </xf>
    <xf numFmtId="0" fontId="0" fillId="0" borderId="192" xfId="0" applyBorder="1" applyAlignment="1">
      <alignment horizontal="right" vertical="center"/>
    </xf>
    <xf numFmtId="0" fontId="31" fillId="0" borderId="0" xfId="0" applyFont="1" applyAlignment="1">
      <alignment vertical="justify"/>
    </xf>
    <xf numFmtId="1" fontId="64" fillId="0" borderId="109" xfId="0" applyNumberFormat="1" applyFont="1" applyFill="1" applyBorder="1" applyAlignment="1">
      <alignment vertical="center"/>
    </xf>
    <xf numFmtId="1" fontId="64" fillId="0" borderId="231" xfId="0" applyNumberFormat="1" applyFont="1" applyFill="1" applyBorder="1" applyAlignment="1">
      <alignment vertical="center"/>
    </xf>
    <xf numFmtId="1" fontId="64" fillId="0" borderId="233" xfId="0" applyNumberFormat="1" applyFont="1" applyFill="1" applyBorder="1" applyAlignment="1">
      <alignment vertical="center"/>
    </xf>
    <xf numFmtId="0" fontId="44" fillId="0" borderId="237" xfId="0" applyFont="1" applyBorder="1" applyAlignment="1">
      <alignment vertical="center"/>
    </xf>
    <xf numFmtId="0" fontId="0" fillId="0" borderId="239" xfId="0" applyBorder="1" applyAlignment="1">
      <alignment vertical="center"/>
    </xf>
    <xf numFmtId="0" fontId="102" fillId="0" borderId="239" xfId="0" applyFont="1" applyBorder="1" applyAlignment="1">
      <alignment horizontal="right" vertical="center"/>
    </xf>
    <xf numFmtId="0" fontId="6" fillId="0" borderId="239" xfId="0" applyFont="1" applyBorder="1" applyAlignment="1">
      <alignment vertical="center"/>
    </xf>
    <xf numFmtId="0" fontId="100" fillId="0" borderId="115" xfId="0" applyFont="1" applyBorder="1" applyAlignment="1">
      <alignment horizontal="right" vertical="center"/>
    </xf>
    <xf numFmtId="0" fontId="31" fillId="0" borderId="3" xfId="0" applyFont="1" applyBorder="1" applyAlignment="1">
      <alignment horizontal="right" vertical="center"/>
    </xf>
    <xf numFmtId="0" fontId="31" fillId="0" borderId="8" xfId="0" applyFont="1" applyBorder="1" applyAlignment="1">
      <alignment horizontal="right" vertical="center"/>
    </xf>
    <xf numFmtId="0" fontId="89" fillId="0" borderId="239" xfId="0" applyFont="1" applyBorder="1" applyAlignment="1">
      <alignment horizontal="right" vertical="center"/>
    </xf>
    <xf numFmtId="0" fontId="36" fillId="0" borderId="240" xfId="0" applyFont="1" applyBorder="1" applyAlignment="1">
      <alignment horizontal="left" vertical="center"/>
    </xf>
    <xf numFmtId="0" fontId="37" fillId="0" borderId="238" xfId="0" applyFont="1" applyBorder="1" applyAlignment="1">
      <alignment vertical="center"/>
    </xf>
    <xf numFmtId="0" fontId="44" fillId="0" borderId="239" xfId="0" applyFont="1" applyBorder="1" applyAlignment="1">
      <alignment vertical="center"/>
    </xf>
    <xf numFmtId="0" fontId="36" fillId="0" borderId="74" xfId="0" applyFont="1" applyBorder="1" applyAlignment="1">
      <alignment horizontal="right" vertical="center"/>
    </xf>
    <xf numFmtId="0" fontId="39" fillId="0" borderId="74" xfId="0" applyFont="1" applyBorder="1" applyAlignment="1">
      <alignment horizontal="right" vertical="center"/>
    </xf>
    <xf numFmtId="0" fontId="36" fillId="0" borderId="1" xfId="0" applyFont="1" applyBorder="1" applyAlignment="1">
      <alignment horizontal="left" vertical="center"/>
    </xf>
    <xf numFmtId="0" fontId="44" fillId="0" borderId="1" xfId="0" applyFont="1" applyBorder="1" applyAlignment="1">
      <alignment horizontal="center" vertical="center"/>
    </xf>
    <xf numFmtId="0" fontId="9" fillId="0" borderId="241" xfId="0" applyFont="1" applyBorder="1" applyAlignment="1">
      <alignment horizontal="center" vertical="center"/>
    </xf>
    <xf numFmtId="0" fontId="107" fillId="0" borderId="0" xfId="0" applyFont="1" applyFill="1" applyAlignment="1">
      <alignment horizontal="center" vertical="center"/>
    </xf>
    <xf numFmtId="0" fontId="9" fillId="0" borderId="242" xfId="0" applyFont="1" applyBorder="1" applyAlignment="1">
      <alignment horizontal="center" vertical="center"/>
    </xf>
    <xf numFmtId="0" fontId="36" fillId="0" borderId="243" xfId="0" applyFont="1" applyBorder="1" applyAlignment="1">
      <alignment horizontal="right" vertical="center"/>
    </xf>
    <xf numFmtId="0" fontId="37" fillId="0" borderId="244" xfId="0" applyFont="1" applyBorder="1" applyAlignment="1">
      <alignment vertical="center"/>
    </xf>
    <xf numFmtId="0" fontId="37" fillId="0" borderId="245" xfId="0" applyFont="1" applyBorder="1" applyAlignment="1">
      <alignment vertical="center"/>
    </xf>
    <xf numFmtId="0" fontId="37" fillId="0" borderId="243" xfId="0" applyFont="1" applyBorder="1" applyAlignment="1">
      <alignment vertical="center"/>
    </xf>
    <xf numFmtId="0" fontId="36" fillId="0" borderId="245" xfId="0" applyFont="1" applyBorder="1" applyAlignment="1">
      <alignment horizontal="left" vertical="center"/>
    </xf>
    <xf numFmtId="0" fontId="47" fillId="0" borderId="245" xfId="0" applyFont="1" applyBorder="1" applyAlignment="1">
      <alignment horizontal="center" vertical="center"/>
    </xf>
    <xf numFmtId="0" fontId="0" fillId="0" borderId="245" xfId="0" applyBorder="1" applyAlignment="1">
      <alignment horizontal="left" vertical="center"/>
    </xf>
    <xf numFmtId="1" fontId="77" fillId="0" borderId="245" xfId="0" applyNumberFormat="1" applyFont="1" applyBorder="1" applyAlignment="1">
      <alignment horizontal="center" vertical="center"/>
    </xf>
    <xf numFmtId="1" fontId="36" fillId="0" borderId="245" xfId="0" applyNumberFormat="1" applyFont="1" applyBorder="1" applyAlignment="1">
      <alignment horizontal="right" vertical="center"/>
    </xf>
    <xf numFmtId="0" fontId="9" fillId="0" borderId="246" xfId="0" applyFont="1" applyBorder="1" applyAlignment="1">
      <alignment horizontal="center" vertical="center"/>
    </xf>
    <xf numFmtId="0" fontId="40" fillId="0" borderId="98" xfId="0" applyFont="1" applyFill="1" applyBorder="1" applyAlignment="1">
      <alignment vertical="center"/>
    </xf>
    <xf numFmtId="0" fontId="40" fillId="0" borderId="100" xfId="0" applyFont="1" applyFill="1" applyBorder="1" applyAlignment="1">
      <alignment vertical="center"/>
    </xf>
    <xf numFmtId="0" fontId="96" fillId="0" borderId="0" xfId="0" applyFont="1" applyBorder="1" applyAlignment="1">
      <alignment horizontal="center" vertical="center"/>
    </xf>
    <xf numFmtId="0" fontId="97" fillId="0" borderId="0" xfId="0" applyFont="1" applyBorder="1" applyAlignment="1">
      <alignment horizontal="right" vertical="center"/>
    </xf>
    <xf numFmtId="0" fontId="97" fillId="0" borderId="0" xfId="0" applyFont="1" applyBorder="1" applyAlignment="1">
      <alignment horizontal="left" vertical="center"/>
    </xf>
    <xf numFmtId="0" fontId="97" fillId="0" borderId="0" xfId="0" applyFont="1" applyBorder="1" applyAlignment="1">
      <alignment vertic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37" fillId="0" borderId="76" xfId="0" applyFont="1" applyBorder="1" applyAlignment="1">
      <alignment vertical="center"/>
    </xf>
    <xf numFmtId="0" fontId="36" fillId="12" borderId="8" xfId="0" applyFont="1" applyFill="1" applyBorder="1" applyAlignment="1">
      <alignment horizontal="right" vertical="center"/>
    </xf>
    <xf numFmtId="1" fontId="38" fillId="0" borderId="74" xfId="0" applyNumberFormat="1" applyFont="1" applyBorder="1" applyAlignment="1">
      <alignment vertical="center"/>
    </xf>
    <xf numFmtId="0" fontId="52" fillId="0" borderId="1" xfId="0" applyFont="1" applyBorder="1" applyAlignment="1">
      <alignment horizontal="center" vertical="center"/>
    </xf>
    <xf numFmtId="0" fontId="38" fillId="0" borderId="2" xfId="0" applyFont="1" applyBorder="1" applyAlignment="1">
      <alignment horizontal="left" vertical="center"/>
    </xf>
    <xf numFmtId="0" fontId="9" fillId="0" borderId="252" xfId="0" applyFont="1" applyBorder="1" applyAlignment="1">
      <alignment horizontal="center" vertical="center"/>
    </xf>
    <xf numFmtId="0" fontId="9" fillId="0" borderId="253" xfId="0" applyFont="1" applyBorder="1" applyAlignment="1">
      <alignment horizontal="center" vertical="center"/>
    </xf>
    <xf numFmtId="0" fontId="37" fillId="0" borderId="255" xfId="0" applyFont="1" applyFill="1" applyBorder="1" applyAlignment="1">
      <alignment vertical="center"/>
    </xf>
    <xf numFmtId="0" fontId="107" fillId="0" borderId="0" xfId="0" applyFont="1" applyBorder="1" applyAlignment="1">
      <alignment horizontal="center" vertical="center"/>
    </xf>
    <xf numFmtId="0" fontId="0" fillId="0" borderId="14" xfId="0" applyBorder="1" applyAlignment="1">
      <alignment vertical="center"/>
    </xf>
    <xf numFmtId="0" fontId="9" fillId="0" borderId="254" xfId="0" applyFont="1" applyBorder="1" applyAlignment="1">
      <alignment vertical="center"/>
    </xf>
    <xf numFmtId="0" fontId="36" fillId="0" borderId="28" xfId="0" applyFont="1" applyBorder="1" applyAlignment="1">
      <alignment horizontal="right" vertical="center"/>
    </xf>
    <xf numFmtId="0" fontId="9" fillId="0" borderId="16" xfId="0" applyFont="1" applyBorder="1" applyAlignment="1">
      <alignment horizontal="center" vertical="center"/>
    </xf>
    <xf numFmtId="0" fontId="89" fillId="0" borderId="214" xfId="0" applyFont="1" applyBorder="1" applyAlignment="1">
      <alignment horizontal="right" vertical="center"/>
    </xf>
    <xf numFmtId="0" fontId="37" fillId="0" borderId="0" xfId="0" applyFont="1" applyBorder="1" applyAlignment="1">
      <alignment vertical="center"/>
    </xf>
    <xf numFmtId="0" fontId="102" fillId="0" borderId="0" xfId="0" applyFont="1" applyBorder="1" applyAlignment="1">
      <alignment horizontal="right" vertical="center"/>
    </xf>
    <xf numFmtId="0" fontId="36" fillId="0" borderId="215" xfId="0" applyFont="1" applyBorder="1" applyAlignment="1">
      <alignment horizontal="left" vertical="center"/>
    </xf>
    <xf numFmtId="0" fontId="6" fillId="0" borderId="0" xfId="0" applyFont="1" applyBorder="1" applyAlignment="1">
      <alignment vertical="center"/>
    </xf>
    <xf numFmtId="0" fontId="36" fillId="0" borderId="3" xfId="0" applyFont="1" applyFill="1" applyBorder="1" applyAlignment="1">
      <alignment horizontal="right" vertical="center"/>
    </xf>
    <xf numFmtId="0" fontId="9" fillId="0" borderId="256" xfId="0" applyFont="1" applyBorder="1" applyAlignment="1">
      <alignment horizontal="center" vertical="center"/>
    </xf>
    <xf numFmtId="0" fontId="9" fillId="0" borderId="258" xfId="0" applyFont="1" applyBorder="1" applyAlignment="1">
      <alignment horizontal="center" vertical="center"/>
    </xf>
    <xf numFmtId="0" fontId="9" fillId="0" borderId="259" xfId="0" applyFont="1" applyBorder="1" applyAlignment="1">
      <alignment horizontal="right" vertical="center"/>
    </xf>
    <xf numFmtId="0" fontId="9" fillId="0" borderId="260" xfId="0" applyFont="1" applyBorder="1" applyAlignment="1">
      <alignment horizontal="center" vertical="center"/>
    </xf>
    <xf numFmtId="0" fontId="9" fillId="0" borderId="78" xfId="0" applyFont="1" applyBorder="1" applyAlignment="1">
      <alignment horizontal="right" vertical="center"/>
    </xf>
    <xf numFmtId="0" fontId="9" fillId="0" borderId="261" xfId="0" applyFont="1" applyBorder="1" applyAlignment="1">
      <alignment horizontal="center" vertical="center"/>
    </xf>
    <xf numFmtId="0" fontId="53" fillId="0" borderId="261" xfId="0" applyFont="1" applyBorder="1" applyAlignment="1">
      <alignment horizontal="center" vertical="center"/>
    </xf>
    <xf numFmtId="0" fontId="9" fillId="0" borderId="264" xfId="0" applyFont="1" applyBorder="1" applyAlignment="1">
      <alignment horizontal="center" vertical="center"/>
    </xf>
    <xf numFmtId="0" fontId="9" fillId="0" borderId="265" xfId="0" applyFont="1" applyBorder="1" applyAlignment="1">
      <alignment horizontal="center" vertical="center"/>
    </xf>
    <xf numFmtId="0" fontId="42" fillId="0" borderId="72" xfId="0" applyFont="1" applyBorder="1" applyAlignment="1">
      <alignment horizontal="left" vertical="center"/>
    </xf>
    <xf numFmtId="0" fontId="42" fillId="0" borderId="270" xfId="0" applyFont="1" applyBorder="1" applyAlignment="1">
      <alignment horizontal="left" vertical="center"/>
    </xf>
    <xf numFmtId="0" fontId="9" fillId="0" borderId="272" xfId="0" applyFont="1" applyBorder="1" applyAlignment="1">
      <alignment vertical="center"/>
    </xf>
    <xf numFmtId="0" fontId="90" fillId="0" borderId="0" xfId="0" applyFont="1" applyBorder="1" applyAlignment="1">
      <alignment horizontal="center" vertical="center"/>
    </xf>
    <xf numFmtId="0" fontId="92" fillId="0" borderId="0" xfId="0" applyFont="1" applyBorder="1" applyAlignment="1">
      <alignment horizontal="right" vertical="center"/>
    </xf>
    <xf numFmtId="0" fontId="94" fillId="0" borderId="0" xfId="0" applyFont="1" applyBorder="1" applyAlignment="1">
      <alignment vertical="center"/>
    </xf>
    <xf numFmtId="170" fontId="95" fillId="0" borderId="0" xfId="0" applyNumberFormat="1" applyFont="1" applyBorder="1" applyAlignment="1">
      <alignment horizontal="right" vertical="center"/>
    </xf>
    <xf numFmtId="0" fontId="90" fillId="0" borderId="277" xfId="0" applyFont="1" applyBorder="1" applyAlignment="1">
      <alignment horizontal="center" vertical="center"/>
    </xf>
    <xf numFmtId="0" fontId="90" fillId="0" borderId="281" xfId="0" applyFont="1" applyBorder="1" applyAlignment="1">
      <alignment horizontal="center" vertical="center"/>
    </xf>
    <xf numFmtId="0" fontId="96" fillId="0" borderId="287" xfId="0" applyFont="1" applyBorder="1" applyAlignment="1">
      <alignment horizontal="center" vertical="center"/>
    </xf>
    <xf numFmtId="0" fontId="97" fillId="0" borderId="288" xfId="0" applyFont="1" applyBorder="1" applyAlignment="1">
      <alignment horizontal="right" vertical="center"/>
    </xf>
    <xf numFmtId="0" fontId="96" fillId="0" borderId="292" xfId="0" applyFont="1" applyBorder="1" applyAlignment="1">
      <alignment horizontal="center" vertical="center"/>
    </xf>
    <xf numFmtId="0" fontId="97" fillId="0" borderId="293" xfId="0" applyFont="1" applyBorder="1" applyAlignment="1">
      <alignment horizontal="right" vertical="center"/>
    </xf>
    <xf numFmtId="0" fontId="97" fillId="0" borderId="232" xfId="0" applyFont="1" applyBorder="1" applyAlignment="1">
      <alignment horizontal="right" vertical="center"/>
    </xf>
    <xf numFmtId="0" fontId="74" fillId="0" borderId="146" xfId="0" applyFont="1" applyFill="1" applyBorder="1" applyAlignment="1">
      <alignment vertical="center"/>
    </xf>
    <xf numFmtId="0" fontId="36" fillId="0" borderId="55" xfId="0" applyFont="1" applyBorder="1" applyAlignment="1">
      <alignment horizontal="left" vertical="center"/>
    </xf>
    <xf numFmtId="1" fontId="38" fillId="0" borderId="141" xfId="0" applyNumberFormat="1" applyFont="1" applyFill="1" applyBorder="1" applyAlignment="1">
      <alignment vertical="center"/>
    </xf>
    <xf numFmtId="1" fontId="38" fillId="0" borderId="3" xfId="0" applyNumberFormat="1" applyFont="1" applyFill="1" applyBorder="1" applyAlignment="1">
      <alignment vertical="center"/>
    </xf>
    <xf numFmtId="0" fontId="9" fillId="0" borderId="9"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4" borderId="0" xfId="0" applyFont="1" applyFill="1" applyBorder="1" applyAlignment="1">
      <alignment vertical="center"/>
    </xf>
    <xf numFmtId="0" fontId="5" fillId="0" borderId="0" xfId="0" applyFont="1" applyAlignment="1">
      <alignment vertical="center"/>
    </xf>
    <xf numFmtId="1" fontId="114" fillId="0" borderId="8" xfId="0" applyNumberFormat="1" applyFont="1" applyBorder="1" applyAlignment="1">
      <alignment vertical="center"/>
    </xf>
    <xf numFmtId="0" fontId="89" fillId="0" borderId="54" xfId="0" applyFont="1" applyFill="1" applyBorder="1" applyAlignment="1">
      <alignment horizontal="right" vertical="center"/>
    </xf>
    <xf numFmtId="1" fontId="38" fillId="0" borderId="73" xfId="0" applyNumberFormat="1" applyFont="1" applyFill="1" applyBorder="1" applyAlignment="1">
      <alignment vertical="center"/>
    </xf>
    <xf numFmtId="1" fontId="38" fillId="0" borderId="75" xfId="0" applyNumberFormat="1" applyFont="1" applyFill="1" applyBorder="1" applyAlignment="1">
      <alignment vertical="center"/>
    </xf>
    <xf numFmtId="1" fontId="38" fillId="0" borderId="0" xfId="0" applyNumberFormat="1" applyFont="1" applyFill="1" applyBorder="1" applyAlignment="1">
      <alignment vertical="center"/>
    </xf>
    <xf numFmtId="1" fontId="114" fillId="0" borderId="163" xfId="0" applyNumberFormat="1" applyFont="1" applyBorder="1" applyAlignment="1">
      <alignment vertical="center"/>
    </xf>
    <xf numFmtId="0" fontId="79" fillId="0" borderId="3" xfId="0" applyFont="1" applyBorder="1" applyAlignment="1">
      <alignment horizontal="center" wrapText="1"/>
    </xf>
    <xf numFmtId="0" fontId="79" fillId="0" borderId="3" xfId="0" applyFont="1" applyBorder="1" applyAlignment="1">
      <alignment horizontal="center" vertical="center"/>
    </xf>
    <xf numFmtId="0" fontId="79" fillId="0" borderId="3" xfId="0" applyFont="1" applyBorder="1" applyAlignment="1">
      <alignment horizontal="center" vertical="center" wrapText="1"/>
    </xf>
    <xf numFmtId="0" fontId="79" fillId="0" borderId="3" xfId="0" applyFont="1" applyFill="1" applyBorder="1" applyAlignment="1">
      <alignment vertical="top"/>
    </xf>
    <xf numFmtId="0" fontId="43" fillId="0" borderId="1" xfId="0" applyFont="1" applyBorder="1" applyAlignment="1">
      <alignment horizontal="center" vertical="center"/>
    </xf>
    <xf numFmtId="0" fontId="108" fillId="0" borderId="0" xfId="0" applyFont="1" applyBorder="1" applyAlignment="1">
      <alignment vertical="center"/>
    </xf>
    <xf numFmtId="0" fontId="8" fillId="0" borderId="0" xfId="0" applyFont="1" applyFill="1" applyAlignment="1">
      <alignment horizontal="center" vertical="center"/>
    </xf>
    <xf numFmtId="0" fontId="9" fillId="0" borderId="300" xfId="0" applyFont="1" applyBorder="1" applyAlignment="1">
      <alignment horizontal="center" vertical="center"/>
    </xf>
    <xf numFmtId="0" fontId="36" fillId="0" borderId="301" xfId="0" applyFont="1" applyBorder="1" applyAlignment="1">
      <alignment horizontal="right" vertical="center"/>
    </xf>
    <xf numFmtId="0" fontId="37" fillId="0" borderId="302" xfId="0" applyFont="1" applyBorder="1" applyAlignment="1">
      <alignment vertical="center"/>
    </xf>
    <xf numFmtId="0" fontId="37" fillId="0" borderId="303" xfId="0" applyFont="1" applyBorder="1" applyAlignment="1">
      <alignment vertical="center"/>
    </xf>
    <xf numFmtId="0" fontId="36" fillId="0" borderId="303" xfId="0" applyFont="1" applyBorder="1" applyAlignment="1">
      <alignment horizontal="left" vertical="center"/>
    </xf>
    <xf numFmtId="0" fontId="9" fillId="0" borderId="303" xfId="0" applyFont="1" applyBorder="1" applyAlignment="1">
      <alignment horizontal="center" vertical="center"/>
    </xf>
    <xf numFmtId="0" fontId="34" fillId="0" borderId="303" xfId="0" applyFont="1" applyBorder="1" applyAlignment="1">
      <alignment horizontal="center" vertical="center"/>
    </xf>
    <xf numFmtId="0" fontId="9" fillId="0" borderId="304" xfId="0" applyFont="1" applyBorder="1" applyAlignment="1">
      <alignment horizontal="center" vertical="center"/>
    </xf>
    <xf numFmtId="0" fontId="115" fillId="0" borderId="0" xfId="0" applyFont="1" applyAlignment="1">
      <alignment horizontal="left" vertical="center"/>
    </xf>
    <xf numFmtId="0" fontId="41" fillId="0" borderId="13" xfId="0" applyFont="1" applyFill="1" applyBorder="1" applyAlignment="1">
      <alignment vertical="center"/>
    </xf>
    <xf numFmtId="0" fontId="0" fillId="0" borderId="0" xfId="0" applyFont="1" applyAlignment="1">
      <alignment horizontal="left" vertical="center"/>
    </xf>
    <xf numFmtId="0" fontId="31" fillId="0" borderId="193" xfId="0" applyFont="1" applyBorder="1" applyAlignment="1">
      <alignment vertical="center"/>
    </xf>
    <xf numFmtId="0" fontId="37" fillId="0" borderId="193" xfId="0" applyFont="1" applyBorder="1" applyAlignment="1">
      <alignment vertical="center"/>
    </xf>
    <xf numFmtId="0" fontId="43" fillId="0" borderId="3" xfId="0" applyFont="1" applyBorder="1" applyAlignment="1">
      <alignment horizontal="center" vertical="center"/>
    </xf>
    <xf numFmtId="0" fontId="116" fillId="0" borderId="0" xfId="0" applyFont="1" applyBorder="1" applyAlignment="1">
      <alignment vertical="center" wrapText="1"/>
    </xf>
    <xf numFmtId="0" fontId="9" fillId="0" borderId="305" xfId="0" applyFont="1" applyBorder="1" applyAlignment="1">
      <alignment horizontal="center" vertical="center"/>
    </xf>
    <xf numFmtId="0" fontId="53" fillId="0" borderId="305" xfId="0" applyFont="1" applyBorder="1" applyAlignment="1">
      <alignment horizontal="center" vertical="center"/>
    </xf>
    <xf numFmtId="1" fontId="64" fillId="0" borderId="305" xfId="0" applyNumberFormat="1" applyFont="1" applyFill="1" applyBorder="1" applyAlignment="1">
      <alignment vertical="center"/>
    </xf>
    <xf numFmtId="0" fontId="53" fillId="0" borderId="309" xfId="0" applyFont="1" applyBorder="1" applyAlignment="1">
      <alignment horizontal="center" vertical="center"/>
    </xf>
    <xf numFmtId="1" fontId="64" fillId="0" borderId="309" xfId="0" applyNumberFormat="1" applyFont="1" applyFill="1" applyBorder="1" applyAlignment="1">
      <alignment vertical="center"/>
    </xf>
    <xf numFmtId="0" fontId="117" fillId="0" borderId="3" xfId="0" applyFont="1" applyBorder="1" applyAlignment="1">
      <alignment vertical="center"/>
    </xf>
    <xf numFmtId="0" fontId="43" fillId="0" borderId="3" xfId="0" applyFont="1" applyBorder="1" applyAlignment="1">
      <alignment vertical="center"/>
    </xf>
    <xf numFmtId="0" fontId="118" fillId="0" borderId="3" xfId="0" applyFont="1" applyBorder="1" applyAlignment="1">
      <alignment vertical="center"/>
    </xf>
    <xf numFmtId="0" fontId="119" fillId="0" borderId="3" xfId="0" applyFont="1" applyBorder="1" applyAlignment="1">
      <alignment vertical="center"/>
    </xf>
    <xf numFmtId="0" fontId="118" fillId="0" borderId="2" xfId="0" applyFont="1" applyBorder="1" applyAlignment="1">
      <alignment vertical="center"/>
    </xf>
    <xf numFmtId="0" fontId="37" fillId="0" borderId="9" xfId="0" applyFont="1" applyFill="1" applyBorder="1" applyAlignment="1">
      <alignment vertical="center"/>
    </xf>
    <xf numFmtId="0" fontId="36" fillId="0" borderId="110" xfId="0" applyFont="1" applyBorder="1" applyAlignment="1">
      <alignment horizontal="right" vertical="center"/>
    </xf>
    <xf numFmtId="0" fontId="37" fillId="0" borderId="312" xfId="0" applyFont="1" applyBorder="1" applyAlignment="1">
      <alignment vertical="center"/>
    </xf>
    <xf numFmtId="0" fontId="9" fillId="0" borderId="130" xfId="0" applyFont="1" applyBorder="1" applyAlignment="1">
      <alignment horizontal="center" vertical="center"/>
    </xf>
    <xf numFmtId="0" fontId="41" fillId="0" borderId="0" xfId="0" applyFont="1" applyFill="1" applyBorder="1" applyAlignment="1">
      <alignment vertical="center"/>
    </xf>
    <xf numFmtId="0" fontId="9" fillId="0" borderId="273" xfId="0" applyFont="1" applyBorder="1" applyAlignment="1">
      <alignment horizontal="center" vertical="center"/>
    </xf>
    <xf numFmtId="0" fontId="36" fillId="0" borderId="12" xfId="0" applyFont="1" applyBorder="1" applyAlignment="1">
      <alignment horizontal="right" vertical="center"/>
    </xf>
    <xf numFmtId="0" fontId="37" fillId="0" borderId="313" xfId="0" applyFont="1" applyFill="1" applyBorder="1" applyAlignment="1">
      <alignment vertical="center"/>
    </xf>
    <xf numFmtId="0" fontId="37" fillId="0" borderId="12" xfId="0" applyFont="1" applyBorder="1" applyAlignment="1">
      <alignment vertical="center"/>
    </xf>
    <xf numFmtId="0" fontId="37" fillId="0" borderId="314" xfId="0" applyFont="1" applyBorder="1" applyAlignment="1">
      <alignment vertical="center"/>
    </xf>
    <xf numFmtId="0" fontId="36" fillId="0" borderId="12" xfId="0" applyFont="1" applyBorder="1" applyAlignment="1">
      <alignment horizontal="left" vertical="center"/>
    </xf>
    <xf numFmtId="0" fontId="9" fillId="0" borderId="12" xfId="0" applyFont="1" applyBorder="1" applyAlignment="1">
      <alignment horizontal="center" vertical="center"/>
    </xf>
    <xf numFmtId="0" fontId="34" fillId="0" borderId="12" xfId="0" applyFont="1" applyBorder="1" applyAlignment="1">
      <alignment horizontal="center" vertical="center"/>
    </xf>
    <xf numFmtId="0" fontId="44" fillId="0" borderId="12" xfId="0" applyFont="1" applyBorder="1" applyAlignment="1">
      <alignment horizontal="center" vertical="center"/>
    </xf>
    <xf numFmtId="0" fontId="9" fillId="0" borderId="274" xfId="0" applyFont="1" applyBorder="1" applyAlignment="1">
      <alignment horizontal="center" vertical="center"/>
    </xf>
    <xf numFmtId="0" fontId="52" fillId="0" borderId="2" xfId="0" applyFont="1" applyBorder="1" applyAlignment="1">
      <alignment horizontal="center" vertical="center"/>
    </xf>
    <xf numFmtId="0" fontId="52" fillId="0" borderId="146" xfId="0" applyFont="1" applyBorder="1" applyAlignment="1">
      <alignment horizontal="center" vertical="center"/>
    </xf>
    <xf numFmtId="0" fontId="52" fillId="0" borderId="0" xfId="0" applyFont="1" applyBorder="1" applyAlignment="1">
      <alignment horizontal="center" vertical="center"/>
    </xf>
    <xf numFmtId="0" fontId="52" fillId="0" borderId="225" xfId="0" applyFont="1" applyBorder="1" applyAlignment="1">
      <alignment horizontal="center" vertical="center"/>
    </xf>
    <xf numFmtId="0" fontId="52" fillId="0" borderId="100" xfId="0" applyFont="1" applyBorder="1" applyAlignment="1">
      <alignment horizontal="center" vertical="center"/>
    </xf>
    <xf numFmtId="0" fontId="52" fillId="0" borderId="3" xfId="0" applyFont="1" applyBorder="1" applyAlignment="1">
      <alignment horizontal="center" vertical="center"/>
    </xf>
    <xf numFmtId="1" fontId="43" fillId="0" borderId="305" xfId="0" applyNumberFormat="1" applyFont="1" applyFill="1" applyBorder="1" applyAlignment="1">
      <alignment vertical="center"/>
    </xf>
    <xf numFmtId="1" fontId="43" fillId="0" borderId="309" xfId="0" applyNumberFormat="1" applyFont="1" applyFill="1" applyBorder="1" applyAlignment="1">
      <alignment vertical="center"/>
    </xf>
    <xf numFmtId="0" fontId="52" fillId="0" borderId="21" xfId="0" applyFont="1" applyBorder="1" applyAlignment="1">
      <alignment horizontal="center" vertical="center"/>
    </xf>
    <xf numFmtId="0" fontId="120" fillId="0" borderId="3" xfId="0" applyFont="1" applyBorder="1" applyAlignment="1">
      <alignment vertical="center"/>
    </xf>
    <xf numFmtId="0" fontId="46" fillId="0" borderId="36" xfId="0" applyFont="1" applyBorder="1" applyAlignment="1">
      <alignment horizontal="right" vertical="center"/>
    </xf>
    <xf numFmtId="0" fontId="46" fillId="0" borderId="51" xfId="0" applyFont="1" applyBorder="1" applyAlignment="1">
      <alignment horizontal="right" vertical="center"/>
    </xf>
    <xf numFmtId="0" fontId="46" fillId="0" borderId="43" xfId="0" applyFont="1" applyBorder="1" applyAlignment="1">
      <alignment horizontal="right" vertical="center"/>
    </xf>
    <xf numFmtId="0" fontId="46" fillId="0" borderId="61" xfId="0" applyFont="1" applyBorder="1" applyAlignment="1">
      <alignment horizontal="right" vertical="center"/>
    </xf>
    <xf numFmtId="0" fontId="46" fillId="0" borderId="19" xfId="0" applyFont="1" applyBorder="1" applyAlignment="1">
      <alignment horizontal="right" vertical="center"/>
    </xf>
    <xf numFmtId="0" fontId="46" fillId="0" borderId="74" xfId="0" applyFont="1" applyBorder="1" applyAlignment="1">
      <alignment horizontal="right" vertical="center"/>
    </xf>
    <xf numFmtId="0" fontId="46" fillId="0" borderId="301" xfId="0" applyFont="1" applyBorder="1" applyAlignment="1">
      <alignment horizontal="right" vertical="center"/>
    </xf>
    <xf numFmtId="0" fontId="46" fillId="0" borderId="54" xfId="0" applyFont="1" applyBorder="1" applyAlignment="1">
      <alignment horizontal="right" vertical="center"/>
    </xf>
    <xf numFmtId="0" fontId="122" fillId="0" borderId="122" xfId="0" applyFont="1" applyBorder="1" applyAlignment="1">
      <alignment horizontal="right" vertical="center"/>
    </xf>
    <xf numFmtId="0" fontId="122" fillId="0" borderId="0" xfId="0" applyFont="1" applyAlignment="1">
      <alignment horizontal="right" vertical="center"/>
    </xf>
    <xf numFmtId="0" fontId="74" fillId="0" borderId="31" xfId="0" applyFont="1" applyBorder="1" applyAlignment="1">
      <alignment vertical="center"/>
    </xf>
    <xf numFmtId="0" fontId="31" fillId="0" borderId="129" xfId="0" applyFont="1" applyBorder="1" applyAlignment="1">
      <alignment vertical="center"/>
    </xf>
    <xf numFmtId="0" fontId="52" fillId="0" borderId="303" xfId="0" applyFont="1" applyBorder="1" applyAlignment="1">
      <alignment horizontal="center" vertical="center"/>
    </xf>
    <xf numFmtId="1" fontId="43" fillId="0" borderId="231" xfId="0" applyNumberFormat="1" applyFont="1" applyFill="1" applyBorder="1" applyAlignment="1">
      <alignment vertical="center"/>
    </xf>
    <xf numFmtId="0" fontId="0" fillId="0" borderId="317" xfId="0" applyFill="1" applyBorder="1"/>
    <xf numFmtId="0" fontId="40" fillId="0" borderId="0" xfId="0" applyFont="1" applyFill="1" applyBorder="1" applyAlignment="1">
      <alignment horizontal="left" vertical="center"/>
    </xf>
    <xf numFmtId="0" fontId="45" fillId="0" borderId="0" xfId="0" applyFont="1" applyBorder="1" applyAlignment="1">
      <alignment vertical="center"/>
    </xf>
    <xf numFmtId="0" fontId="9" fillId="0" borderId="318" xfId="0" applyFont="1" applyBorder="1" applyAlignment="1">
      <alignment horizontal="right" vertical="center"/>
    </xf>
    <xf numFmtId="0" fontId="9" fillId="0" borderId="161" xfId="0" applyFont="1" applyFill="1" applyBorder="1" applyAlignment="1">
      <alignment horizontal="left" vertical="center"/>
    </xf>
    <xf numFmtId="1" fontId="43" fillId="0" borderId="109" xfId="0" applyNumberFormat="1" applyFont="1" applyFill="1" applyBorder="1" applyAlignment="1">
      <alignment vertical="center"/>
    </xf>
    <xf numFmtId="0" fontId="45" fillId="0" borderId="0" xfId="0" applyFont="1" applyAlignment="1">
      <alignment vertical="center"/>
    </xf>
    <xf numFmtId="0" fontId="9" fillId="0" borderId="321" xfId="0" applyFont="1" applyBorder="1" applyAlignment="1">
      <alignment horizontal="center" vertical="center"/>
    </xf>
    <xf numFmtId="0" fontId="36" fillId="0" borderId="322" xfId="0" applyFont="1" applyBorder="1" applyAlignment="1">
      <alignment horizontal="right" vertical="center"/>
    </xf>
    <xf numFmtId="0" fontId="0" fillId="13" borderId="194" xfId="0" applyFill="1" applyBorder="1" applyAlignment="1">
      <alignment horizontal="center" vertical="center"/>
    </xf>
    <xf numFmtId="0" fontId="0" fillId="13" borderId="129" xfId="0" applyFill="1" applyBorder="1" applyAlignment="1">
      <alignment horizontal="center" vertical="center"/>
    </xf>
    <xf numFmtId="0" fontId="0" fillId="13" borderId="129" xfId="0" applyFill="1" applyBorder="1" applyAlignment="1">
      <alignment vertical="center"/>
    </xf>
    <xf numFmtId="0" fontId="0" fillId="13" borderId="195" xfId="0" applyFill="1" applyBorder="1" applyAlignment="1">
      <alignment vertical="center"/>
    </xf>
    <xf numFmtId="0" fontId="52" fillId="0" borderId="28" xfId="0" applyFont="1" applyBorder="1" applyAlignment="1">
      <alignment horizontal="center" vertical="center"/>
    </xf>
    <xf numFmtId="0" fontId="9" fillId="0" borderId="254" xfId="0" applyFont="1" applyBorder="1" applyAlignment="1">
      <alignment horizontal="center" vertical="center"/>
    </xf>
    <xf numFmtId="0" fontId="9" fillId="0" borderId="323" xfId="0" applyFont="1" applyBorder="1" applyAlignment="1">
      <alignment horizontal="center" vertical="center"/>
    </xf>
    <xf numFmtId="0" fontId="37" fillId="0" borderId="324" xfId="0" applyFont="1" applyFill="1" applyBorder="1" applyAlignment="1">
      <alignment vertical="center"/>
    </xf>
    <xf numFmtId="0" fontId="37" fillId="0" borderId="325" xfId="0" applyFont="1" applyBorder="1" applyAlignment="1">
      <alignment vertical="center"/>
    </xf>
    <xf numFmtId="0" fontId="46" fillId="0" borderId="322" xfId="0" applyFont="1" applyBorder="1" applyAlignment="1">
      <alignment horizontal="right" vertical="center"/>
    </xf>
    <xf numFmtId="0" fontId="36" fillId="0" borderId="325" xfId="0" applyFont="1" applyBorder="1" applyAlignment="1">
      <alignment horizontal="left" vertical="center"/>
    </xf>
    <xf numFmtId="0" fontId="9" fillId="0" borderId="325" xfId="0" applyFont="1" applyBorder="1" applyAlignment="1">
      <alignment horizontal="center" vertical="center"/>
    </xf>
    <xf numFmtId="0" fontId="34" fillId="0" borderId="325" xfId="0" applyFont="1" applyBorder="1" applyAlignment="1">
      <alignment horizontal="center" vertical="center"/>
    </xf>
    <xf numFmtId="0" fontId="52" fillId="0" borderId="325" xfId="0" applyFont="1" applyBorder="1" applyAlignment="1">
      <alignment horizontal="center" vertical="center"/>
    </xf>
    <xf numFmtId="0" fontId="9" fillId="0" borderId="326" xfId="0" applyFont="1" applyBorder="1" applyAlignment="1">
      <alignment horizontal="center" vertical="center"/>
    </xf>
    <xf numFmtId="0" fontId="0" fillId="0" borderId="0" xfId="0" applyFill="1" applyBorder="1" applyAlignment="1">
      <alignment vertical="center"/>
    </xf>
    <xf numFmtId="0" fontId="31" fillId="0" borderId="328" xfId="0" applyFont="1" applyFill="1" applyBorder="1"/>
    <xf numFmtId="0" fontId="31" fillId="0" borderId="329" xfId="0" applyFont="1" applyFill="1" applyBorder="1"/>
    <xf numFmtId="0" fontId="31" fillId="0" borderId="327" xfId="0" applyFont="1" applyBorder="1" applyAlignment="1">
      <alignment vertical="center"/>
    </xf>
    <xf numFmtId="1" fontId="115" fillId="0" borderId="9" xfId="0" applyNumberFormat="1" applyFont="1" applyBorder="1" applyAlignment="1">
      <alignment horizontal="left" vertical="center"/>
    </xf>
    <xf numFmtId="0" fontId="9" fillId="0" borderId="330" xfId="0" applyFont="1" applyBorder="1" applyAlignment="1">
      <alignment horizontal="center" vertical="center"/>
    </xf>
    <xf numFmtId="0" fontId="37" fillId="0" borderId="331" xfId="0" applyFont="1" applyBorder="1" applyAlignment="1">
      <alignment vertical="center"/>
    </xf>
    <xf numFmtId="0" fontId="9" fillId="0" borderId="332" xfId="0" applyFont="1" applyBorder="1" applyAlignment="1">
      <alignment horizontal="center" vertical="center"/>
    </xf>
    <xf numFmtId="0" fontId="36" fillId="0" borderId="9" xfId="0" applyFont="1" applyBorder="1" applyAlignment="1">
      <alignment vertical="center"/>
    </xf>
    <xf numFmtId="0" fontId="129" fillId="0" borderId="8" xfId="0" applyFont="1" applyBorder="1" applyAlignment="1">
      <alignment horizontal="right" vertical="center"/>
    </xf>
    <xf numFmtId="0" fontId="9" fillId="0" borderId="333" xfId="0" applyFont="1" applyBorder="1" applyAlignment="1">
      <alignment horizontal="center" vertical="center"/>
    </xf>
    <xf numFmtId="0" fontId="9" fillId="0" borderId="334" xfId="0" applyFont="1" applyBorder="1" applyAlignment="1">
      <alignment horizontal="center" vertical="center"/>
    </xf>
    <xf numFmtId="0" fontId="9" fillId="0" borderId="335" xfId="0" applyFont="1" applyBorder="1" applyAlignment="1">
      <alignment horizontal="center" vertical="center"/>
    </xf>
    <xf numFmtId="0" fontId="36" fillId="0" borderId="336" xfId="0" applyFont="1" applyBorder="1" applyAlignment="1">
      <alignment horizontal="right" vertical="center"/>
    </xf>
    <xf numFmtId="0" fontId="46" fillId="0" borderId="311" xfId="0" applyFont="1" applyBorder="1" applyAlignment="1">
      <alignment horizontal="right" vertical="center"/>
    </xf>
    <xf numFmtId="0" fontId="36" fillId="0" borderId="312" xfId="0" applyFont="1" applyBorder="1" applyAlignment="1">
      <alignment horizontal="left" vertical="center"/>
    </xf>
    <xf numFmtId="0" fontId="9" fillId="0" borderId="337" xfId="0" applyFont="1" applyBorder="1" applyAlignment="1">
      <alignment horizontal="center" vertical="center"/>
    </xf>
    <xf numFmtId="0" fontId="53" fillId="0" borderId="231" xfId="0" applyFont="1" applyBorder="1" applyAlignment="1">
      <alignment horizontal="center" vertical="center"/>
    </xf>
    <xf numFmtId="0" fontId="123" fillId="0" borderId="0" xfId="0" applyFont="1" applyBorder="1" applyAlignment="1">
      <alignment vertical="center"/>
    </xf>
    <xf numFmtId="1" fontId="124" fillId="0" borderId="0" xfId="0" applyNumberFormat="1" applyFont="1" applyBorder="1" applyAlignment="1">
      <alignment vertical="center"/>
    </xf>
    <xf numFmtId="0" fontId="89" fillId="0" borderId="0" xfId="0" applyFont="1" applyBorder="1" applyAlignment="1">
      <alignment vertical="center"/>
    </xf>
    <xf numFmtId="0" fontId="52" fillId="0" borderId="0" xfId="0" applyFont="1" applyBorder="1" applyAlignment="1">
      <alignment vertical="center"/>
    </xf>
    <xf numFmtId="0" fontId="88" fillId="0" borderId="0" xfId="0" applyFont="1" applyBorder="1" applyAlignment="1">
      <alignment horizontal="right" vertical="center"/>
    </xf>
    <xf numFmtId="0" fontId="128" fillId="0" borderId="0" xfId="0" applyFont="1" applyBorder="1" applyAlignment="1">
      <alignment horizontal="center" vertical="center"/>
    </xf>
    <xf numFmtId="0" fontId="0" fillId="0" borderId="100" xfId="0" applyBorder="1" applyAlignment="1">
      <alignment vertical="center"/>
    </xf>
    <xf numFmtId="0" fontId="52" fillId="0" borderId="141" xfId="0" applyFont="1" applyBorder="1" applyAlignment="1">
      <alignment horizontal="center" vertical="center"/>
    </xf>
    <xf numFmtId="0" fontId="130" fillId="0" borderId="0" xfId="0" applyFont="1" applyBorder="1" applyAlignment="1">
      <alignment horizontal="right" vertical="center"/>
    </xf>
    <xf numFmtId="0" fontId="38" fillId="0" borderId="1" xfId="0" applyFont="1" applyBorder="1" applyAlignment="1">
      <alignment vertical="center"/>
    </xf>
    <xf numFmtId="0" fontId="47" fillId="0" borderId="1" xfId="0" applyFont="1" applyBorder="1" applyAlignment="1">
      <alignment horizontal="center" vertical="center"/>
    </xf>
    <xf numFmtId="0" fontId="44" fillId="0" borderId="0" xfId="0" applyFont="1" applyBorder="1" applyAlignment="1">
      <alignment horizontal="center" vertical="center"/>
    </xf>
    <xf numFmtId="0" fontId="9" fillId="0" borderId="319" xfId="0" applyFont="1" applyBorder="1" applyAlignment="1">
      <alignment horizontal="center" vertical="center"/>
    </xf>
    <xf numFmtId="0" fontId="36" fillId="0" borderId="338" xfId="0" applyFont="1" applyBorder="1" applyAlignment="1">
      <alignment horizontal="right" vertical="center"/>
    </xf>
    <xf numFmtId="0" fontId="37" fillId="0" borderId="240" xfId="0" applyFont="1" applyBorder="1" applyAlignment="1">
      <alignment vertical="center"/>
    </xf>
    <xf numFmtId="0" fontId="37" fillId="0" borderId="239" xfId="0" applyFont="1" applyBorder="1" applyAlignment="1">
      <alignment vertical="center"/>
    </xf>
    <xf numFmtId="0" fontId="43" fillId="0" borderId="239" xfId="0" applyFont="1" applyBorder="1" applyAlignment="1">
      <alignment vertical="center"/>
    </xf>
    <xf numFmtId="0" fontId="36" fillId="0" borderId="239" xfId="0" applyFont="1" applyBorder="1" applyAlignment="1">
      <alignment horizontal="left" vertical="center"/>
    </xf>
    <xf numFmtId="0" fontId="47" fillId="0" borderId="239" xfId="0" applyFont="1" applyBorder="1" applyAlignment="1">
      <alignment horizontal="center" vertical="center"/>
    </xf>
    <xf numFmtId="0" fontId="9" fillId="0" borderId="239" xfId="0" applyFont="1" applyBorder="1" applyAlignment="1">
      <alignment horizontal="center" vertical="center"/>
    </xf>
    <xf numFmtId="0" fontId="34" fillId="0" borderId="239" xfId="0" applyFont="1" applyBorder="1" applyAlignment="1">
      <alignment horizontal="center" vertical="center"/>
    </xf>
    <xf numFmtId="0" fontId="52" fillId="0" borderId="239" xfId="0" applyFont="1" applyBorder="1" applyAlignment="1">
      <alignment horizontal="center" vertical="center"/>
    </xf>
    <xf numFmtId="0" fontId="9" fillId="0" borderId="320" xfId="0" applyFont="1" applyBorder="1" applyAlignment="1">
      <alignment horizontal="center" vertical="center"/>
    </xf>
    <xf numFmtId="0" fontId="117" fillId="0" borderId="239" xfId="0" applyFont="1" applyBorder="1" applyAlignment="1">
      <alignment vertical="center"/>
    </xf>
    <xf numFmtId="0" fontId="38" fillId="0" borderId="239" xfId="0" applyFont="1" applyBorder="1" applyAlignment="1">
      <alignment vertical="center"/>
    </xf>
    <xf numFmtId="0" fontId="119" fillId="0" borderId="239" xfId="0" applyFont="1" applyBorder="1" applyAlignment="1">
      <alignment vertical="center"/>
    </xf>
    <xf numFmtId="0" fontId="118" fillId="0" borderId="239" xfId="0" applyFont="1" applyBorder="1" applyAlignment="1">
      <alignment vertical="center"/>
    </xf>
    <xf numFmtId="0" fontId="131" fillId="0" borderId="239" xfId="0" applyFont="1" applyBorder="1" applyAlignment="1">
      <alignment vertical="center"/>
    </xf>
    <xf numFmtId="0" fontId="113" fillId="0" borderId="0" xfId="0" applyFont="1" applyBorder="1" applyAlignment="1">
      <alignment horizontal="left" vertical="center"/>
    </xf>
    <xf numFmtId="0" fontId="96" fillId="0" borderId="341" xfId="0" applyFont="1" applyBorder="1" applyAlignment="1">
      <alignment horizontal="center" vertical="center"/>
    </xf>
    <xf numFmtId="0" fontId="97" fillId="0" borderId="342" xfId="0" applyFont="1" applyBorder="1" applyAlignment="1">
      <alignment horizontal="right" vertical="center"/>
    </xf>
    <xf numFmtId="0" fontId="36" fillId="0" borderId="146" xfId="0" applyFont="1" applyBorder="1" applyAlignment="1">
      <alignment horizontal="right" vertical="center"/>
    </xf>
    <xf numFmtId="0" fontId="36" fillId="0" borderId="146" xfId="0" applyFont="1" applyBorder="1" applyAlignment="1">
      <alignment vertical="center"/>
    </xf>
    <xf numFmtId="0" fontId="52" fillId="0" borderId="146" xfId="0" applyFont="1" applyBorder="1" applyAlignment="1">
      <alignment vertical="center"/>
    </xf>
    <xf numFmtId="0" fontId="52" fillId="0" borderId="228" xfId="0" applyFont="1" applyFill="1" applyBorder="1" applyAlignment="1">
      <alignment horizontal="center" vertical="center"/>
    </xf>
    <xf numFmtId="0" fontId="9" fillId="0" borderId="227" xfId="0" applyFont="1" applyFill="1" applyBorder="1" applyAlignment="1">
      <alignment horizontal="center" vertical="center"/>
    </xf>
    <xf numFmtId="0" fontId="52" fillId="0" borderId="3" xfId="0" applyFont="1" applyBorder="1" applyAlignment="1">
      <alignment vertical="center"/>
    </xf>
    <xf numFmtId="1" fontId="64" fillId="0" borderId="0" xfId="0" applyNumberFormat="1" applyFont="1" applyFill="1" applyBorder="1" applyAlignment="1">
      <alignment vertical="center"/>
    </xf>
    <xf numFmtId="1" fontId="43" fillId="0" borderId="261" xfId="0" applyNumberFormat="1" applyFont="1" applyFill="1" applyBorder="1" applyAlignment="1">
      <alignment vertical="center"/>
    </xf>
    <xf numFmtId="0" fontId="132" fillId="10" borderId="102" xfId="0" applyFont="1" applyFill="1" applyBorder="1" applyAlignment="1">
      <alignment horizontal="center" vertical="center"/>
    </xf>
    <xf numFmtId="1" fontId="43" fillId="0" borderId="233" xfId="0" applyNumberFormat="1" applyFont="1" applyFill="1" applyBorder="1" applyAlignment="1">
      <alignment vertical="center"/>
    </xf>
    <xf numFmtId="1" fontId="43" fillId="0" borderId="107" xfId="0" applyNumberFormat="1" applyFont="1" applyFill="1" applyBorder="1" applyAlignment="1">
      <alignment vertical="center"/>
    </xf>
    <xf numFmtId="0" fontId="8" fillId="0" borderId="0" xfId="0" applyFont="1" applyFill="1" applyAlignment="1">
      <alignment horizontal="center" vertical="center"/>
    </xf>
    <xf numFmtId="0" fontId="90" fillId="0" borderId="238" xfId="0" applyFont="1" applyBorder="1" applyAlignment="1">
      <alignment horizontal="left" vertical="center"/>
    </xf>
    <xf numFmtId="0" fontId="96" fillId="0" borderId="239" xfId="0" applyFont="1" applyBorder="1" applyAlignment="1">
      <alignment vertical="center"/>
    </xf>
    <xf numFmtId="0" fontId="96" fillId="0" borderId="239" xfId="0" applyFont="1" applyBorder="1" applyAlignment="1">
      <alignment horizontal="right" vertical="center"/>
    </xf>
    <xf numFmtId="0" fontId="90" fillId="0" borderId="239" xfId="0" applyFont="1" applyBorder="1" applyAlignment="1">
      <alignment vertical="center"/>
    </xf>
    <xf numFmtId="0" fontId="90" fillId="0" borderId="283" xfId="0" applyFont="1" applyBorder="1" applyAlignment="1">
      <alignment horizontal="left" vertical="center"/>
    </xf>
    <xf numFmtId="0" fontId="90" fillId="0" borderId="284" xfId="0" applyFont="1" applyBorder="1" applyAlignment="1">
      <alignment vertical="center"/>
    </xf>
    <xf numFmtId="0" fontId="96" fillId="0" borderId="284" xfId="0" applyFont="1" applyBorder="1" applyAlignment="1">
      <alignment vertical="center"/>
    </xf>
    <xf numFmtId="0" fontId="96" fillId="0" borderId="284" xfId="0" applyFont="1" applyBorder="1" applyAlignment="1">
      <alignment horizontal="right" vertical="center"/>
    </xf>
    <xf numFmtId="0" fontId="88" fillId="0" borderId="298" xfId="0" applyFont="1" applyBorder="1" applyAlignment="1">
      <alignment horizontal="center" vertical="center"/>
    </xf>
    <xf numFmtId="0" fontId="89" fillId="0" borderId="98" xfId="0" applyFont="1" applyBorder="1" applyAlignment="1">
      <alignment horizontal="right" vertical="center"/>
    </xf>
    <xf numFmtId="0" fontId="37" fillId="0" borderId="352" xfId="0" applyFont="1" applyBorder="1" applyAlignment="1">
      <alignment vertical="center"/>
    </xf>
    <xf numFmtId="0" fontId="123" fillId="0" borderId="98" xfId="0" applyFont="1" applyBorder="1" applyAlignment="1">
      <alignment vertical="center"/>
    </xf>
    <xf numFmtId="1" fontId="124" fillId="0" borderId="98" xfId="0" applyNumberFormat="1" applyFont="1" applyBorder="1" applyAlignment="1">
      <alignment vertical="center"/>
    </xf>
    <xf numFmtId="0" fontId="89" fillId="0" borderId="98" xfId="0" applyFont="1" applyBorder="1" applyAlignment="1">
      <alignment vertical="center"/>
    </xf>
    <xf numFmtId="0" fontId="52" fillId="0" borderId="98" xfId="0" applyFont="1" applyBorder="1" applyAlignment="1">
      <alignment vertical="center"/>
    </xf>
    <xf numFmtId="0" fontId="88" fillId="0" borderId="142" xfId="0" applyFont="1" applyBorder="1" applyAlignment="1">
      <alignment horizontal="center" vertical="center"/>
    </xf>
    <xf numFmtId="0" fontId="88" fillId="0" borderId="164" xfId="0" applyFont="1" applyBorder="1" applyAlignment="1">
      <alignment horizontal="center" vertical="center"/>
    </xf>
    <xf numFmtId="0" fontId="89" fillId="0" borderId="100" xfId="0" applyFont="1" applyBorder="1" applyAlignment="1">
      <alignment horizontal="right" vertical="center"/>
    </xf>
    <xf numFmtId="0" fontId="37" fillId="0" borderId="353" xfId="0" applyFont="1" applyBorder="1" applyAlignment="1">
      <alignment vertical="center"/>
    </xf>
    <xf numFmtId="0" fontId="123" fillId="0" borderId="100" xfId="0" applyFont="1" applyBorder="1" applyAlignment="1">
      <alignment vertical="center"/>
    </xf>
    <xf numFmtId="1" fontId="124" fillId="0" borderId="100" xfId="0" applyNumberFormat="1" applyFont="1" applyBorder="1" applyAlignment="1">
      <alignment vertical="center"/>
    </xf>
    <xf numFmtId="0" fontId="89" fillId="0" borderId="100" xfId="0" applyFont="1" applyBorder="1" applyAlignment="1">
      <alignment vertical="center"/>
    </xf>
    <xf numFmtId="0" fontId="52" fillId="0" borderId="100" xfId="0" applyFont="1" applyBorder="1" applyAlignment="1">
      <alignment vertical="center"/>
    </xf>
    <xf numFmtId="0" fontId="88" fillId="0" borderId="155" xfId="0" applyFont="1" applyBorder="1" applyAlignment="1">
      <alignment horizontal="center" vertical="center"/>
    </xf>
    <xf numFmtId="0" fontId="88" fillId="0" borderId="101" xfId="0" applyFont="1" applyBorder="1" applyAlignment="1">
      <alignment horizontal="center" vertical="center"/>
    </xf>
    <xf numFmtId="0" fontId="89" fillId="0" borderId="97" xfId="0" applyFont="1" applyBorder="1" applyAlignment="1">
      <alignment horizontal="right" vertical="center"/>
    </xf>
    <xf numFmtId="0" fontId="37" fillId="0" borderId="354" xfId="0" applyFont="1" applyBorder="1" applyAlignment="1">
      <alignment vertical="center"/>
    </xf>
    <xf numFmtId="0" fontId="123" fillId="0" borderId="97" xfId="0" applyFont="1" applyBorder="1" applyAlignment="1">
      <alignment vertical="center"/>
    </xf>
    <xf numFmtId="1" fontId="124" fillId="0" borderId="97" xfId="0" applyNumberFormat="1" applyFont="1" applyBorder="1" applyAlignment="1">
      <alignment vertical="center"/>
    </xf>
    <xf numFmtId="0" fontId="89" fillId="0" borderId="97" xfId="0" applyFont="1" applyBorder="1" applyAlignment="1">
      <alignment vertical="center"/>
    </xf>
    <xf numFmtId="0" fontId="52" fillId="0" borderId="97" xfId="0" applyFont="1" applyBorder="1" applyAlignment="1">
      <alignment vertical="center"/>
    </xf>
    <xf numFmtId="0" fontId="88" fillId="0" borderId="297" xfId="0" applyFont="1" applyBorder="1" applyAlignment="1">
      <alignment horizontal="center" vertical="center"/>
    </xf>
    <xf numFmtId="0" fontId="88" fillId="0" borderId="362" xfId="0" applyFont="1" applyBorder="1" applyAlignment="1">
      <alignment horizontal="center" vertical="center"/>
    </xf>
    <xf numFmtId="0" fontId="88" fillId="0" borderId="364" xfId="0" applyFont="1" applyBorder="1" applyAlignment="1">
      <alignment horizontal="center" vertical="center"/>
    </xf>
    <xf numFmtId="1" fontId="64" fillId="0" borderId="365" xfId="0" applyNumberFormat="1" applyFont="1" applyFill="1" applyBorder="1" applyAlignment="1">
      <alignment vertical="center"/>
    </xf>
    <xf numFmtId="0" fontId="88" fillId="0" borderId="366" xfId="0" applyFont="1" applyBorder="1" applyAlignment="1">
      <alignment horizontal="center" vertical="center"/>
    </xf>
    <xf numFmtId="1" fontId="64" fillId="0" borderId="367" xfId="0" applyNumberFormat="1" applyFont="1" applyFill="1" applyBorder="1" applyAlignment="1">
      <alignment vertical="center"/>
    </xf>
    <xf numFmtId="0" fontId="88" fillId="0" borderId="368" xfId="0" applyFont="1" applyBorder="1" applyAlignment="1">
      <alignment horizontal="center" vertical="center"/>
    </xf>
    <xf numFmtId="1" fontId="64" fillId="0" borderId="369" xfId="0" applyNumberFormat="1" applyFont="1" applyFill="1" applyBorder="1" applyAlignment="1">
      <alignment vertical="center"/>
    </xf>
    <xf numFmtId="0" fontId="88" fillId="0" borderId="370" xfId="0" applyFont="1" applyBorder="1" applyAlignment="1">
      <alignment horizontal="center" vertical="center"/>
    </xf>
    <xf numFmtId="1" fontId="64" fillId="0" borderId="371" xfId="0" applyNumberFormat="1" applyFont="1" applyFill="1" applyBorder="1" applyAlignment="1">
      <alignment vertical="center"/>
    </xf>
    <xf numFmtId="0" fontId="131" fillId="10" borderId="360" xfId="0" applyFont="1" applyFill="1" applyBorder="1" applyAlignment="1">
      <alignment vertical="center"/>
    </xf>
    <xf numFmtId="0" fontId="70" fillId="10" borderId="361" xfId="0" applyFont="1" applyFill="1" applyBorder="1" applyAlignment="1">
      <alignment horizontal="center" vertical="center"/>
    </xf>
    <xf numFmtId="0" fontId="88" fillId="0" borderId="372" xfId="0" applyFont="1" applyBorder="1" applyAlignment="1">
      <alignment horizontal="center" vertical="center"/>
    </xf>
    <xf numFmtId="1" fontId="64" fillId="0" borderId="373" xfId="0" applyNumberFormat="1" applyFont="1" applyFill="1" applyBorder="1" applyAlignment="1">
      <alignment vertical="center"/>
    </xf>
    <xf numFmtId="1" fontId="64" fillId="0" borderId="374" xfId="0" applyNumberFormat="1" applyFont="1" applyFill="1" applyBorder="1" applyAlignment="1">
      <alignment vertical="center"/>
    </xf>
    <xf numFmtId="0" fontId="88" fillId="0" borderId="375" xfId="0" applyFont="1" applyBorder="1" applyAlignment="1">
      <alignment horizontal="center" vertical="center"/>
    </xf>
    <xf numFmtId="0" fontId="9" fillId="0" borderId="378" xfId="0" applyFont="1" applyBorder="1" applyAlignment="1">
      <alignment horizontal="center" vertical="center"/>
    </xf>
    <xf numFmtId="0" fontId="53" fillId="0" borderId="378" xfId="0" applyFont="1" applyBorder="1" applyAlignment="1">
      <alignment horizontal="center" vertical="center"/>
    </xf>
    <xf numFmtId="1" fontId="64" fillId="0" borderId="378" xfId="0" applyNumberFormat="1" applyFont="1" applyFill="1" applyBorder="1" applyAlignment="1">
      <alignment vertical="center"/>
    </xf>
    <xf numFmtId="1" fontId="43" fillId="0" borderId="378" xfId="0" applyNumberFormat="1" applyFont="1" applyFill="1" applyBorder="1" applyAlignment="1">
      <alignment vertical="center"/>
    </xf>
    <xf numFmtId="1" fontId="64" fillId="0" borderId="379" xfId="0" applyNumberFormat="1" applyFont="1" applyFill="1" applyBorder="1" applyAlignment="1">
      <alignment vertical="center"/>
    </xf>
    <xf numFmtId="0" fontId="55" fillId="14" borderId="358" xfId="0" applyFont="1" applyFill="1" applyBorder="1" applyAlignment="1">
      <alignment vertical="center"/>
    </xf>
    <xf numFmtId="0" fontId="56" fillId="14" borderId="359" xfId="0" applyFont="1" applyFill="1" applyBorder="1" applyAlignment="1">
      <alignment vertical="center"/>
    </xf>
    <xf numFmtId="0" fontId="89" fillId="0" borderId="376" xfId="0" applyFont="1" applyBorder="1" applyAlignment="1">
      <alignment horizontal="right" vertical="center"/>
    </xf>
    <xf numFmtId="0" fontId="100" fillId="0" borderId="377" xfId="0" applyFont="1" applyBorder="1" applyAlignment="1">
      <alignment vertical="center"/>
    </xf>
    <xf numFmtId="0" fontId="100" fillId="0" borderId="378" xfId="0" applyFont="1" applyBorder="1" applyAlignment="1">
      <alignment vertical="center"/>
    </xf>
    <xf numFmtId="0" fontId="100" fillId="0" borderId="376" xfId="0" applyFont="1" applyBorder="1" applyAlignment="1">
      <alignment horizontal="right" vertical="center"/>
    </xf>
    <xf numFmtId="0" fontId="89" fillId="0" borderId="377" xfId="0" applyFont="1" applyBorder="1" applyAlignment="1">
      <alignment horizontal="left" vertical="center"/>
    </xf>
    <xf numFmtId="0" fontId="100" fillId="0" borderId="261" xfId="0" applyFont="1" applyBorder="1" applyAlignment="1">
      <alignment vertical="center"/>
    </xf>
    <xf numFmtId="0" fontId="135" fillId="0" borderId="262" xfId="0" applyFont="1" applyBorder="1" applyAlignment="1">
      <alignment horizontal="right" vertical="center"/>
    </xf>
    <xf numFmtId="0" fontId="100" fillId="0" borderId="306" xfId="0" applyFont="1" applyBorder="1" applyAlignment="1">
      <alignment vertical="center"/>
    </xf>
    <xf numFmtId="0" fontId="100" fillId="0" borderId="305" xfId="0" applyFont="1" applyBorder="1" applyAlignment="1">
      <alignment vertical="center"/>
    </xf>
    <xf numFmtId="0" fontId="135" fillId="0" borderId="307" xfId="0" applyFont="1" applyBorder="1" applyAlignment="1">
      <alignment horizontal="right" vertical="center"/>
    </xf>
    <xf numFmtId="0" fontId="89" fillId="0" borderId="306" xfId="0" applyFont="1" applyBorder="1" applyAlignment="1">
      <alignment horizontal="left" vertical="center"/>
    </xf>
    <xf numFmtId="0" fontId="100" fillId="0" borderId="308" xfId="0" applyFont="1" applyBorder="1" applyAlignment="1">
      <alignment vertical="center"/>
    </xf>
    <xf numFmtId="0" fontId="100" fillId="0" borderId="309" xfId="0" applyFont="1" applyBorder="1" applyAlignment="1">
      <alignment vertical="center"/>
    </xf>
    <xf numFmtId="0" fontId="135" fillId="0" borderId="310" xfId="0" applyFont="1" applyBorder="1" applyAlignment="1">
      <alignment horizontal="right" vertical="center"/>
    </xf>
    <xf numFmtId="0" fontId="89" fillId="0" borderId="308" xfId="0" applyFont="1" applyBorder="1" applyAlignment="1">
      <alignment horizontal="left" vertical="center"/>
    </xf>
    <xf numFmtId="0" fontId="100" fillId="0" borderId="108" xfId="0" applyFont="1" applyBorder="1" applyAlignment="1">
      <alignment vertical="center"/>
    </xf>
    <xf numFmtId="0" fontId="100" fillId="0" borderId="109" xfId="0" applyFont="1" applyBorder="1" applyAlignment="1">
      <alignment vertical="center"/>
    </xf>
    <xf numFmtId="0" fontId="135" fillId="0" borderId="110" xfId="0" applyFont="1" applyBorder="1" applyAlignment="1">
      <alignment horizontal="right" vertical="center"/>
    </xf>
    <xf numFmtId="0" fontId="89" fillId="0" borderId="108" xfId="0" applyFont="1" applyBorder="1" applyAlignment="1">
      <alignment horizontal="left" vertical="center"/>
    </xf>
    <xf numFmtId="0" fontId="100" fillId="0" borderId="235" xfId="0" applyFont="1" applyBorder="1" applyAlignment="1">
      <alignment vertical="center"/>
    </xf>
    <xf numFmtId="0" fontId="100" fillId="0" borderId="231" xfId="0" applyFont="1" applyBorder="1" applyAlignment="1">
      <alignment vertical="center"/>
    </xf>
    <xf numFmtId="0" fontId="135" fillId="0" borderId="236" xfId="0" applyFont="1" applyBorder="1" applyAlignment="1">
      <alignment horizontal="right" vertical="center"/>
    </xf>
    <xf numFmtId="0" fontId="89" fillId="0" borderId="235" xfId="0" applyFont="1" applyBorder="1" applyAlignment="1">
      <alignment horizontal="left" vertical="center"/>
    </xf>
    <xf numFmtId="0" fontId="134" fillId="10" borderId="102" xfId="0" applyFont="1" applyFill="1" applyBorder="1" applyAlignment="1">
      <alignment horizontal="left" vertical="center"/>
    </xf>
    <xf numFmtId="0" fontId="136" fillId="10" borderId="102" xfId="0" applyFont="1" applyFill="1" applyBorder="1" applyAlignment="1">
      <alignment horizontal="left" vertical="center"/>
    </xf>
    <xf numFmtId="0" fontId="137" fillId="10" borderId="102" xfId="0" applyFont="1" applyFill="1" applyBorder="1" applyAlignment="1">
      <alignment horizontal="center" vertical="center"/>
    </xf>
    <xf numFmtId="0" fontId="100" fillId="0" borderId="104" xfId="0" applyFont="1" applyBorder="1" applyAlignment="1">
      <alignment vertical="center"/>
    </xf>
    <xf numFmtId="0" fontId="100" fillId="0" borderId="105" xfId="0" applyFont="1" applyBorder="1" applyAlignment="1">
      <alignment vertical="center"/>
    </xf>
    <xf numFmtId="0" fontId="135" fillId="0" borderId="106" xfId="0" applyFont="1" applyBorder="1" applyAlignment="1">
      <alignment horizontal="right" vertical="center"/>
    </xf>
    <xf numFmtId="0" fontId="89" fillId="0" borderId="104" xfId="0" applyFont="1" applyBorder="1" applyAlignment="1">
      <alignment horizontal="left" vertical="center"/>
    </xf>
    <xf numFmtId="0" fontId="100" fillId="0" borderId="263" xfId="0" applyFont="1" applyBorder="1" applyAlignment="1">
      <alignment vertical="center"/>
    </xf>
    <xf numFmtId="1" fontId="64" fillId="0" borderId="261" xfId="0" applyNumberFormat="1" applyFont="1" applyFill="1" applyBorder="1" applyAlignment="1">
      <alignment vertical="center"/>
    </xf>
    <xf numFmtId="1" fontId="64" fillId="0" borderId="363" xfId="0" applyNumberFormat="1" applyFont="1" applyFill="1" applyBorder="1" applyAlignment="1">
      <alignment vertical="center"/>
    </xf>
    <xf numFmtId="0" fontId="57" fillId="14" borderId="0" xfId="0" applyFont="1" applyFill="1" applyBorder="1" applyAlignment="1">
      <alignment vertical="center"/>
    </xf>
    <xf numFmtId="0" fontId="54" fillId="14" borderId="0" xfId="0" applyFont="1" applyFill="1" applyBorder="1" applyAlignment="1">
      <alignment horizontal="left" vertical="center"/>
    </xf>
    <xf numFmtId="0" fontId="56" fillId="14" borderId="382" xfId="0" applyFont="1" applyFill="1" applyBorder="1" applyAlignment="1">
      <alignment vertical="center"/>
    </xf>
    <xf numFmtId="0" fontId="58" fillId="0" borderId="385" xfId="0" applyFont="1" applyBorder="1" applyAlignment="1">
      <alignment vertical="center"/>
    </xf>
    <xf numFmtId="0" fontId="43" fillId="0" borderId="358" xfId="0" applyFont="1" applyFill="1" applyBorder="1" applyAlignment="1">
      <alignment vertical="center"/>
    </xf>
    <xf numFmtId="0" fontId="58" fillId="0" borderId="358" xfId="0" applyFont="1" applyFill="1" applyBorder="1" applyAlignment="1">
      <alignment vertical="center"/>
    </xf>
    <xf numFmtId="0" fontId="58" fillId="0" borderId="358" xfId="0" applyFont="1" applyBorder="1" applyAlignment="1">
      <alignment vertical="center"/>
    </xf>
    <xf numFmtId="0" fontId="58" fillId="0" borderId="359" xfId="0" applyFont="1" applyBorder="1" applyAlignment="1">
      <alignment vertical="center"/>
    </xf>
    <xf numFmtId="0" fontId="59" fillId="8" borderId="386" xfId="0" applyFont="1" applyFill="1" applyBorder="1" applyAlignment="1">
      <alignment vertical="center"/>
    </xf>
    <xf numFmtId="0" fontId="60" fillId="8" borderId="387" xfId="0" applyFont="1" applyFill="1" applyBorder="1" applyAlignment="1">
      <alignment vertical="center"/>
    </xf>
    <xf numFmtId="0" fontId="61" fillId="8" borderId="387" xfId="0" applyFont="1" applyFill="1" applyBorder="1" applyAlignment="1">
      <alignment horizontal="left" vertical="center"/>
    </xf>
    <xf numFmtId="0" fontId="62" fillId="8" borderId="387" xfId="0" applyFont="1" applyFill="1" applyBorder="1" applyAlignment="1">
      <alignment horizontal="center" vertical="center"/>
    </xf>
    <xf numFmtId="0" fontId="63" fillId="8" borderId="387" xfId="0" applyFont="1" applyFill="1" applyBorder="1" applyAlignment="1">
      <alignment horizontal="center" vertical="center"/>
    </xf>
    <xf numFmtId="0" fontId="63" fillId="8" borderId="383" xfId="0" applyFont="1" applyFill="1" applyBorder="1" applyAlignment="1">
      <alignment horizontal="center" vertical="center"/>
    </xf>
    <xf numFmtId="0" fontId="63" fillId="8" borderId="384" xfId="0" applyFont="1" applyFill="1" applyBorder="1" applyAlignment="1">
      <alignment horizontal="center" vertical="center"/>
    </xf>
    <xf numFmtId="0" fontId="9" fillId="0" borderId="388" xfId="0" applyFont="1" applyBorder="1" applyAlignment="1">
      <alignment horizontal="center" vertical="center"/>
    </xf>
    <xf numFmtId="0" fontId="36" fillId="0" borderId="389" xfId="0" applyFont="1" applyBorder="1" applyAlignment="1">
      <alignment horizontal="right" vertical="center"/>
    </xf>
    <xf numFmtId="0" fontId="37" fillId="0" borderId="390" xfId="0" applyFont="1" applyBorder="1" applyAlignment="1">
      <alignment vertical="center"/>
    </xf>
    <xf numFmtId="0" fontId="37" fillId="0" borderId="374" xfId="0" applyFont="1" applyBorder="1" applyAlignment="1">
      <alignment vertical="center"/>
    </xf>
    <xf numFmtId="0" fontId="0" fillId="0" borderId="374" xfId="0" applyBorder="1" applyAlignment="1">
      <alignment vertical="center"/>
    </xf>
    <xf numFmtId="0" fontId="43" fillId="0" borderId="374" xfId="0" applyFont="1" applyBorder="1" applyAlignment="1">
      <alignment vertical="center"/>
    </xf>
    <xf numFmtId="0" fontId="9" fillId="0" borderId="391" xfId="0" applyFont="1" applyBorder="1" applyAlignment="1">
      <alignment horizontal="center" vertical="center"/>
    </xf>
    <xf numFmtId="0" fontId="9" fillId="0" borderId="374" xfId="0" applyFont="1" applyBorder="1" applyAlignment="1">
      <alignment horizontal="center" vertical="center"/>
    </xf>
    <xf numFmtId="1" fontId="64" fillId="0" borderId="237" xfId="0" applyNumberFormat="1" applyFont="1" applyFill="1" applyBorder="1" applyAlignment="1">
      <alignment vertical="center"/>
    </xf>
    <xf numFmtId="1" fontId="43" fillId="0" borderId="237" xfId="0" applyNumberFormat="1" applyFont="1" applyFill="1" applyBorder="1" applyAlignment="1">
      <alignment vertical="center"/>
    </xf>
    <xf numFmtId="1" fontId="64" fillId="0" borderId="392" xfId="0" applyNumberFormat="1" applyFont="1" applyFill="1" applyBorder="1" applyAlignment="1">
      <alignment vertical="center"/>
    </xf>
    <xf numFmtId="0" fontId="65" fillId="9" borderId="393" xfId="0" applyFont="1" applyFill="1" applyBorder="1" applyAlignment="1">
      <alignment vertical="center"/>
    </xf>
    <xf numFmtId="0" fontId="66" fillId="9" borderId="394" xfId="0" applyFont="1" applyFill="1" applyBorder="1" applyAlignment="1">
      <alignment vertical="center"/>
    </xf>
    <xf numFmtId="0" fontId="67" fillId="9" borderId="394" xfId="0" applyFont="1" applyFill="1" applyBorder="1" applyAlignment="1">
      <alignment horizontal="left" vertical="center"/>
    </xf>
    <xf numFmtId="0" fontId="68" fillId="9" borderId="394" xfId="0" applyFont="1" applyFill="1" applyBorder="1" applyAlignment="1">
      <alignment horizontal="center" vertical="center"/>
    </xf>
    <xf numFmtId="0" fontId="69" fillId="9" borderId="394" xfId="0" applyFont="1" applyFill="1" applyBorder="1" applyAlignment="1">
      <alignment vertical="center"/>
    </xf>
    <xf numFmtId="0" fontId="70" fillId="9" borderId="394" xfId="0" applyFont="1" applyFill="1" applyBorder="1" applyAlignment="1">
      <alignment horizontal="center" vertical="center"/>
    </xf>
    <xf numFmtId="0" fontId="70" fillId="9" borderId="395" xfId="0" applyFont="1" applyFill="1" applyBorder="1" applyAlignment="1">
      <alignment horizontal="center" vertical="center"/>
    </xf>
    <xf numFmtId="0" fontId="100" fillId="0" borderId="328" xfId="0" applyFont="1" applyFill="1" applyBorder="1" applyAlignment="1">
      <alignment vertical="center"/>
    </xf>
    <xf numFmtId="0" fontId="127" fillId="0" borderId="306" xfId="0" applyFont="1" applyBorder="1" applyAlignment="1">
      <alignment horizontal="left" vertical="center"/>
    </xf>
    <xf numFmtId="0" fontId="88" fillId="0" borderId="397" xfId="0" applyFont="1" applyBorder="1" applyAlignment="1">
      <alignment horizontal="center" vertical="center"/>
    </xf>
    <xf numFmtId="0" fontId="100" fillId="0" borderId="399" xfId="0" applyFont="1" applyBorder="1" applyAlignment="1">
      <alignment vertical="center"/>
    </xf>
    <xf numFmtId="0" fontId="100" fillId="0" borderId="398" xfId="0" applyFont="1" applyBorder="1" applyAlignment="1">
      <alignment vertical="center"/>
    </xf>
    <xf numFmtId="0" fontId="135" fillId="0" borderId="400" xfId="0" applyFont="1" applyBorder="1" applyAlignment="1">
      <alignment horizontal="right" vertical="center"/>
    </xf>
    <xf numFmtId="0" fontId="89" fillId="0" borderId="401" xfId="0" applyFont="1" applyBorder="1" applyAlignment="1">
      <alignment horizontal="left" vertical="center"/>
    </xf>
    <xf numFmtId="0" fontId="9" fillId="0" borderId="398" xfId="0" applyFont="1" applyBorder="1" applyAlignment="1">
      <alignment horizontal="center" vertical="center"/>
    </xf>
    <xf numFmtId="0" fontId="53" fillId="0" borderId="398" xfId="0" applyFont="1" applyBorder="1" applyAlignment="1">
      <alignment horizontal="center" vertical="center"/>
    </xf>
    <xf numFmtId="0" fontId="0" fillId="0" borderId="398" xfId="0" applyFill="1" applyBorder="1" applyAlignment="1"/>
    <xf numFmtId="1" fontId="43" fillId="0" borderId="398" xfId="0" applyNumberFormat="1" applyFont="1" applyFill="1" applyBorder="1" applyAlignment="1">
      <alignment vertical="center"/>
    </xf>
    <xf numFmtId="0" fontId="0" fillId="0" borderId="402" xfId="0" applyFill="1" applyBorder="1" applyAlignment="1"/>
    <xf numFmtId="0" fontId="88" fillId="0" borderId="403" xfId="0" applyFont="1" applyBorder="1" applyAlignment="1">
      <alignment horizontal="center" vertical="center"/>
    </xf>
    <xf numFmtId="0" fontId="100" fillId="0" borderId="405" xfId="0" applyFont="1" applyBorder="1" applyAlignment="1">
      <alignment vertical="center"/>
    </xf>
    <xf numFmtId="0" fontId="100" fillId="0" borderId="0" xfId="0" applyFont="1" applyBorder="1" applyAlignment="1">
      <alignment vertical="center"/>
    </xf>
    <xf numFmtId="0" fontId="135" fillId="0" borderId="404" xfId="0" applyFont="1" applyBorder="1" applyAlignment="1">
      <alignment horizontal="right" vertical="center"/>
    </xf>
    <xf numFmtId="0" fontId="89" fillId="0" borderId="0" xfId="0" applyFont="1" applyBorder="1" applyAlignment="1">
      <alignment horizontal="left" vertical="center"/>
    </xf>
    <xf numFmtId="0" fontId="53" fillId="0" borderId="0" xfId="0" applyFont="1" applyBorder="1" applyAlignment="1">
      <alignment horizontal="center" vertical="center"/>
    </xf>
    <xf numFmtId="1" fontId="43" fillId="0" borderId="0" xfId="0" applyNumberFormat="1" applyFont="1" applyFill="1" applyBorder="1" applyAlignment="1">
      <alignment vertical="center"/>
    </xf>
    <xf numFmtId="1" fontId="64" fillId="0" borderId="382" xfId="0" applyNumberFormat="1" applyFont="1" applyFill="1" applyBorder="1" applyAlignment="1">
      <alignment vertical="center"/>
    </xf>
    <xf numFmtId="0" fontId="88" fillId="0" borderId="406" xfId="0" applyFont="1" applyBorder="1" applyAlignment="1">
      <alignment horizontal="center" vertical="center"/>
    </xf>
    <xf numFmtId="0" fontId="100" fillId="0" borderId="408" xfId="0" applyFont="1" applyBorder="1" applyAlignment="1">
      <alignment vertical="center"/>
    </xf>
    <xf numFmtId="0" fontId="100" fillId="0" borderId="232" xfId="0" applyFont="1" applyBorder="1" applyAlignment="1">
      <alignment vertical="center"/>
    </xf>
    <xf numFmtId="0" fontId="135" fillId="0" borderId="407" xfId="0" applyFont="1" applyBorder="1" applyAlignment="1">
      <alignment horizontal="right" vertical="center"/>
    </xf>
    <xf numFmtId="0" fontId="89" fillId="0" borderId="408" xfId="0" applyFont="1" applyBorder="1" applyAlignment="1">
      <alignment horizontal="left" vertical="center"/>
    </xf>
    <xf numFmtId="0" fontId="9" fillId="0" borderId="232" xfId="0" applyFont="1" applyBorder="1" applyAlignment="1">
      <alignment horizontal="center" vertical="center"/>
    </xf>
    <xf numFmtId="0" fontId="53" fillId="0" borderId="232" xfId="0" applyFont="1" applyBorder="1" applyAlignment="1">
      <alignment horizontal="center" vertical="center"/>
    </xf>
    <xf numFmtId="1" fontId="64" fillId="0" borderId="232" xfId="0" applyNumberFormat="1" applyFont="1" applyFill="1" applyBorder="1" applyAlignment="1">
      <alignment vertical="center"/>
    </xf>
    <xf numFmtId="1" fontId="43" fillId="0" borderId="232" xfId="0" applyNumberFormat="1" applyFont="1" applyFill="1" applyBorder="1" applyAlignment="1">
      <alignment vertical="center"/>
    </xf>
    <xf numFmtId="1" fontId="64" fillId="0" borderId="409" xfId="0" applyNumberFormat="1" applyFont="1" applyFill="1" applyBorder="1" applyAlignment="1">
      <alignment vertical="center"/>
    </xf>
    <xf numFmtId="0" fontId="89" fillId="0" borderId="232" xfId="0" applyFont="1" applyBorder="1" applyAlignment="1">
      <alignment horizontal="left" vertical="center"/>
    </xf>
    <xf numFmtId="0" fontId="9" fillId="0" borderId="410" xfId="0" applyFont="1" applyBorder="1" applyAlignment="1">
      <alignment horizontal="center" vertical="center"/>
    </xf>
    <xf numFmtId="0" fontId="37" fillId="0" borderId="412" xfId="0" applyFont="1" applyFill="1" applyBorder="1" applyAlignment="1">
      <alignment vertical="center"/>
    </xf>
    <xf numFmtId="0" fontId="0" fillId="0" borderId="413" xfId="0" applyBorder="1" applyAlignment="1">
      <alignment vertical="center"/>
    </xf>
    <xf numFmtId="0" fontId="121" fillId="0" borderId="413" xfId="0" applyFont="1" applyBorder="1" applyAlignment="1">
      <alignment horizontal="right" vertical="center"/>
    </xf>
    <xf numFmtId="0" fontId="93" fillId="0" borderId="412" xfId="0" applyFont="1" applyBorder="1" applyAlignment="1">
      <alignment horizontal="left" vertical="center"/>
    </xf>
    <xf numFmtId="0" fontId="6" fillId="0" borderId="413" xfId="0" applyFont="1" applyBorder="1" applyAlignment="1">
      <alignment vertical="center"/>
    </xf>
    <xf numFmtId="0" fontId="12" fillId="0" borderId="413" xfId="0" applyFont="1" applyBorder="1" applyAlignment="1">
      <alignment vertical="center"/>
    </xf>
    <xf numFmtId="0" fontId="9" fillId="0" borderId="414" xfId="0" applyFont="1" applyBorder="1" applyAlignment="1">
      <alignment horizontal="right" vertical="center"/>
    </xf>
    <xf numFmtId="0" fontId="4" fillId="0" borderId="415" xfId="0" applyFont="1" applyBorder="1" applyAlignment="1">
      <alignment vertical="center"/>
    </xf>
    <xf numFmtId="0" fontId="97" fillId="0" borderId="415" xfId="0" applyFont="1" applyBorder="1" applyAlignment="1">
      <alignment vertical="center"/>
    </xf>
    <xf numFmtId="0" fontId="93" fillId="0" borderId="416" xfId="0" applyFont="1" applyBorder="1" applyAlignment="1">
      <alignment horizontal="left" vertical="center"/>
    </xf>
    <xf numFmtId="0" fontId="100" fillId="0" borderId="411" xfId="0" applyFont="1" applyBorder="1" applyAlignment="1">
      <alignment horizontal="right" vertical="center"/>
    </xf>
    <xf numFmtId="0" fontId="93" fillId="0" borderId="415" xfId="0" applyFont="1" applyBorder="1" applyAlignment="1">
      <alignment horizontal="right" vertical="center"/>
    </xf>
    <xf numFmtId="0" fontId="31" fillId="0" borderId="329" xfId="0" applyFont="1" applyFill="1" applyBorder="1" applyAlignment="1">
      <alignment vertical="center"/>
    </xf>
    <xf numFmtId="0" fontId="113" fillId="0" borderId="283" xfId="0" applyFont="1" applyBorder="1" applyAlignment="1">
      <alignment horizontal="left" vertical="center"/>
    </xf>
    <xf numFmtId="0" fontId="93" fillId="0" borderId="9" xfId="0" applyFont="1" applyBorder="1" applyAlignment="1">
      <alignment horizontal="left" vertical="center"/>
    </xf>
    <xf numFmtId="49" fontId="31" fillId="0" borderId="9" xfId="0" applyNumberFormat="1" applyFont="1" applyBorder="1" applyAlignment="1">
      <alignment vertical="center"/>
    </xf>
    <xf numFmtId="0" fontId="93" fillId="0" borderId="416" xfId="0" applyFont="1" applyBorder="1" applyAlignment="1">
      <alignment vertical="center"/>
    </xf>
    <xf numFmtId="0" fontId="93" fillId="0" borderId="415" xfId="0" applyFont="1" applyBorder="1" applyAlignment="1">
      <alignment vertical="center"/>
    </xf>
    <xf numFmtId="0" fontId="93" fillId="0" borderId="417" xfId="0" applyFont="1" applyBorder="1" applyAlignment="1">
      <alignment vertical="center"/>
    </xf>
    <xf numFmtId="0" fontId="113" fillId="0" borderId="238" xfId="0" applyFont="1" applyBorder="1" applyAlignment="1">
      <alignment horizontal="left" vertical="center"/>
    </xf>
    <xf numFmtId="0" fontId="88" fillId="0" borderId="418" xfId="0" applyFont="1" applyBorder="1" applyAlignment="1">
      <alignment horizontal="center" vertical="center"/>
    </xf>
    <xf numFmtId="0" fontId="97" fillId="0" borderId="419" xfId="0" applyFont="1" applyBorder="1" applyAlignment="1">
      <alignment horizontal="right" vertical="center"/>
    </xf>
    <xf numFmtId="1" fontId="138" fillId="0" borderId="232" xfId="0" applyNumberFormat="1" applyFont="1" applyFill="1" applyBorder="1" applyAlignment="1">
      <alignment vertical="center"/>
    </xf>
    <xf numFmtId="1" fontId="138" fillId="0" borderId="261" xfId="0" applyNumberFormat="1" applyFont="1" applyFill="1" applyBorder="1" applyAlignment="1">
      <alignment vertical="center"/>
    </xf>
    <xf numFmtId="1" fontId="138" fillId="0" borderId="396" xfId="0" applyNumberFormat="1" applyFont="1" applyFill="1" applyBorder="1" applyAlignment="1">
      <alignment vertical="center"/>
    </xf>
    <xf numFmtId="1" fontId="138" fillId="0" borderId="398" xfId="0" applyNumberFormat="1" applyFont="1" applyFill="1" applyBorder="1" applyAlignment="1">
      <alignment vertical="center"/>
    </xf>
    <xf numFmtId="1" fontId="138" fillId="0" borderId="305" xfId="0" applyNumberFormat="1" applyFont="1" applyFill="1" applyBorder="1" applyAlignment="1">
      <alignment vertical="center"/>
    </xf>
    <xf numFmtId="1" fontId="138" fillId="0" borderId="309" xfId="0" applyNumberFormat="1" applyFont="1" applyFill="1" applyBorder="1" applyAlignment="1">
      <alignment vertical="center"/>
    </xf>
    <xf numFmtId="1" fontId="138" fillId="0" borderId="109" xfId="0" applyNumberFormat="1" applyFont="1" applyFill="1" applyBorder="1" applyAlignment="1">
      <alignment vertical="center"/>
    </xf>
    <xf numFmtId="1" fontId="138" fillId="0" borderId="231" xfId="0" applyNumberFormat="1" applyFont="1" applyFill="1" applyBorder="1" applyAlignment="1">
      <alignment vertical="center"/>
    </xf>
    <xf numFmtId="0" fontId="139" fillId="10" borderId="102" xfId="0" applyFont="1" applyFill="1" applyBorder="1" applyAlignment="1">
      <alignment horizontal="center" vertical="center"/>
    </xf>
    <xf numFmtId="1" fontId="138" fillId="0" borderId="233" xfId="0" applyNumberFormat="1" applyFont="1" applyFill="1" applyBorder="1" applyAlignment="1">
      <alignment vertical="center"/>
    </xf>
    <xf numFmtId="1" fontId="138" fillId="0" borderId="107" xfId="0" applyNumberFormat="1" applyFont="1" applyFill="1" applyBorder="1" applyAlignment="1">
      <alignment vertical="center"/>
    </xf>
    <xf numFmtId="0" fontId="9" fillId="0" borderId="3" xfId="0" applyFont="1" applyBorder="1" applyAlignment="1">
      <alignment vertical="center"/>
    </xf>
    <xf numFmtId="0" fontId="9" fillId="0" borderId="119" xfId="0" applyFont="1" applyBorder="1" applyAlignment="1">
      <alignment horizontal="right" vertical="center"/>
    </xf>
    <xf numFmtId="0" fontId="9" fillId="0" borderId="193" xfId="0" applyFont="1" applyFill="1" applyBorder="1" applyAlignment="1">
      <alignment vertical="center"/>
    </xf>
    <xf numFmtId="0" fontId="3" fillId="0" borderId="278" xfId="0" applyFont="1" applyBorder="1" applyAlignment="1">
      <alignment horizontal="right" vertical="center"/>
    </xf>
    <xf numFmtId="0" fontId="3" fillId="0" borderId="282" xfId="0" applyFont="1" applyBorder="1" applyAlignment="1">
      <alignment horizontal="right" vertical="center"/>
    </xf>
    <xf numFmtId="0" fontId="146" fillId="0" borderId="296" xfId="0" applyFont="1" applyBorder="1" applyAlignment="1">
      <alignment vertical="center"/>
    </xf>
    <xf numFmtId="0" fontId="141" fillId="0" borderId="232" xfId="0" applyFont="1" applyBorder="1" applyAlignment="1">
      <alignment vertical="center"/>
    </xf>
    <xf numFmtId="0" fontId="141" fillId="0" borderId="232" xfId="0" applyFont="1" applyBorder="1" applyAlignment="1">
      <alignment horizontal="right" vertical="center"/>
    </xf>
    <xf numFmtId="0" fontId="141" fillId="0" borderId="232" xfId="0" applyFont="1" applyBorder="1" applyAlignment="1">
      <alignment horizontal="left" vertical="center"/>
    </xf>
    <xf numFmtId="0" fontId="142" fillId="0" borderId="232" xfId="0" applyFont="1" applyBorder="1" applyAlignment="1">
      <alignment horizontal="center" vertical="center"/>
    </xf>
    <xf numFmtId="0" fontId="143" fillId="0" borderId="232" xfId="0" applyFont="1" applyBorder="1" applyAlignment="1">
      <alignment horizontal="center" vertical="center"/>
    </xf>
    <xf numFmtId="0" fontId="142" fillId="0" borderId="295" xfId="0" applyFont="1" applyBorder="1" applyAlignment="1">
      <alignment horizontal="center" vertical="center"/>
    </xf>
    <xf numFmtId="0" fontId="146" fillId="0" borderId="342" xfId="0" applyFont="1" applyBorder="1" applyAlignment="1">
      <alignment vertical="center"/>
    </xf>
    <xf numFmtId="0" fontId="141" fillId="0" borderId="342" xfId="0" applyFont="1" applyBorder="1" applyAlignment="1">
      <alignment vertical="center"/>
    </xf>
    <xf numFmtId="0" fontId="141" fillId="0" borderId="342" xfId="0" applyFont="1" applyBorder="1" applyAlignment="1">
      <alignment horizontal="right" vertical="center"/>
    </xf>
    <xf numFmtId="0" fontId="141" fillId="0" borderId="342" xfId="0" applyFont="1" applyBorder="1" applyAlignment="1">
      <alignment horizontal="left" vertical="center"/>
    </xf>
    <xf numFmtId="0" fontId="142" fillId="0" borderId="342" xfId="0" applyFont="1" applyBorder="1" applyAlignment="1">
      <alignment horizontal="center" vertical="center"/>
    </xf>
    <xf numFmtId="0" fontId="143" fillId="0" borderId="342" xfId="0" applyFont="1" applyBorder="1" applyAlignment="1">
      <alignment horizontal="center" vertical="center"/>
    </xf>
    <xf numFmtId="0" fontId="142" fillId="0" borderId="343" xfId="0" applyFont="1" applyBorder="1" applyAlignment="1">
      <alignment horizontal="center" vertical="center"/>
    </xf>
    <xf numFmtId="0" fontId="75" fillId="0" borderId="9" xfId="0" applyFont="1" applyFill="1" applyBorder="1" applyAlignment="1">
      <alignment vertical="center"/>
    </xf>
    <xf numFmtId="0" fontId="34" fillId="0" borderId="423" xfId="0" applyFont="1" applyBorder="1" applyAlignment="1">
      <alignment horizontal="center" vertical="center"/>
    </xf>
    <xf numFmtId="0" fontId="96" fillId="0" borderId="424" xfId="0" applyFont="1" applyBorder="1" applyAlignment="1">
      <alignment horizontal="center" vertical="center"/>
    </xf>
    <xf numFmtId="0" fontId="96" fillId="0" borderId="425" xfId="0" applyFont="1" applyBorder="1" applyAlignment="1">
      <alignment horizontal="right" vertical="center"/>
    </xf>
    <xf numFmtId="0" fontId="96" fillId="0" borderId="277" xfId="0" applyFont="1" applyBorder="1" applyAlignment="1">
      <alignment horizontal="center" vertical="center"/>
    </xf>
    <xf numFmtId="0" fontId="96" fillId="0" borderId="278" xfId="0" applyFont="1" applyBorder="1" applyAlignment="1">
      <alignment horizontal="right" vertical="center"/>
    </xf>
    <xf numFmtId="0" fontId="44" fillId="0" borderId="338" xfId="0" applyFont="1" applyBorder="1" applyAlignment="1">
      <alignment horizontal="right" vertical="center"/>
    </xf>
    <xf numFmtId="0" fontId="38" fillId="0" borderId="277" xfId="0" applyFont="1" applyBorder="1" applyAlignment="1">
      <alignment horizontal="center" vertical="center"/>
    </xf>
    <xf numFmtId="0" fontId="44" fillId="0" borderId="239" xfId="0" applyFont="1" applyFill="1" applyBorder="1" applyAlignment="1">
      <alignment horizontal="right" vertical="center"/>
    </xf>
    <xf numFmtId="0" fontId="96" fillId="0" borderId="281" xfId="0" applyFont="1" applyBorder="1" applyAlignment="1">
      <alignment horizontal="center" vertical="center"/>
    </xf>
    <xf numFmtId="0" fontId="31" fillId="0" borderId="154" xfId="0" applyFont="1" applyBorder="1" applyAlignment="1">
      <alignment vertical="center"/>
    </xf>
    <xf numFmtId="0" fontId="34" fillId="0" borderId="413" xfId="0" applyFont="1" applyBorder="1" applyAlignment="1">
      <alignment horizontal="center" vertical="center"/>
    </xf>
    <xf numFmtId="0" fontId="2" fillId="0" borderId="0" xfId="0" applyFont="1" applyAlignment="1">
      <alignment vertical="center"/>
    </xf>
    <xf numFmtId="0" fontId="88" fillId="0" borderId="426" xfId="0" applyFont="1" applyBorder="1" applyAlignment="1">
      <alignment horizontal="center" vertical="center"/>
    </xf>
    <xf numFmtId="0" fontId="100" fillId="0" borderId="427" xfId="0" applyFont="1" applyBorder="1" applyAlignment="1">
      <alignment vertical="center"/>
    </xf>
    <xf numFmtId="0" fontId="100" fillId="0" borderId="396" xfId="0" applyFont="1" applyBorder="1" applyAlignment="1">
      <alignment vertical="center"/>
    </xf>
    <xf numFmtId="0" fontId="135" fillId="0" borderId="428" xfId="0" applyFont="1" applyBorder="1" applyAlignment="1">
      <alignment horizontal="right" vertical="center"/>
    </xf>
    <xf numFmtId="0" fontId="89" fillId="0" borderId="427" xfId="0" applyFont="1" applyBorder="1" applyAlignment="1">
      <alignment horizontal="left" vertical="center"/>
    </xf>
    <xf numFmtId="1" fontId="138" fillId="0" borderId="429" xfId="0" applyNumberFormat="1" applyFont="1" applyFill="1" applyBorder="1" applyAlignment="1">
      <alignment vertical="center"/>
    </xf>
    <xf numFmtId="1" fontId="64" fillId="0" borderId="429" xfId="0" applyNumberFormat="1" applyFont="1" applyFill="1" applyBorder="1" applyAlignment="1">
      <alignment vertical="center"/>
    </xf>
    <xf numFmtId="1" fontId="43" fillId="0" borderId="429" xfId="0" applyNumberFormat="1" applyFont="1" applyFill="1" applyBorder="1" applyAlignment="1">
      <alignment vertical="center"/>
    </xf>
    <xf numFmtId="1" fontId="64" fillId="0" borderId="430" xfId="0" applyNumberFormat="1" applyFont="1" applyFill="1" applyBorder="1" applyAlignment="1">
      <alignment vertical="center"/>
    </xf>
    <xf numFmtId="0" fontId="100" fillId="0" borderId="432" xfId="0" applyFont="1" applyBorder="1" applyAlignment="1">
      <alignment vertical="center"/>
    </xf>
    <xf numFmtId="0" fontId="100" fillId="0" borderId="431" xfId="0" applyFont="1" applyBorder="1" applyAlignment="1">
      <alignment vertical="center"/>
    </xf>
    <xf numFmtId="0" fontId="135" fillId="0" borderId="433" xfId="0" applyFont="1" applyBorder="1" applyAlignment="1">
      <alignment horizontal="right" vertical="center"/>
    </xf>
    <xf numFmtId="0" fontId="89" fillId="0" borderId="432" xfId="0" applyFont="1" applyBorder="1" applyAlignment="1">
      <alignment horizontal="left" vertical="center"/>
    </xf>
    <xf numFmtId="0" fontId="9" fillId="0" borderId="431" xfId="0" applyFont="1" applyBorder="1" applyAlignment="1">
      <alignment horizontal="center" vertical="center"/>
    </xf>
    <xf numFmtId="0" fontId="53" fillId="0" borderId="431" xfId="0" applyFont="1" applyBorder="1" applyAlignment="1">
      <alignment horizontal="center" vertical="center"/>
    </xf>
    <xf numFmtId="1" fontId="138" fillId="0" borderId="431" xfId="0" applyNumberFormat="1" applyFont="1" applyFill="1" applyBorder="1" applyAlignment="1">
      <alignment vertical="center"/>
    </xf>
    <xf numFmtId="1" fontId="64" fillId="0" borderId="431" xfId="0" applyNumberFormat="1" applyFont="1" applyFill="1" applyBorder="1" applyAlignment="1">
      <alignment vertical="center"/>
    </xf>
    <xf numFmtId="1" fontId="43" fillId="0" borderId="431" xfId="0" applyNumberFormat="1" applyFont="1" applyFill="1" applyBorder="1" applyAlignment="1">
      <alignment vertical="center"/>
    </xf>
    <xf numFmtId="1" fontId="64" fillId="0" borderId="434" xfId="0" applyNumberFormat="1" applyFont="1" applyFill="1" applyBorder="1" applyAlignment="1">
      <alignment vertical="center"/>
    </xf>
    <xf numFmtId="0" fontId="36" fillId="0" borderId="117" xfId="0" applyFont="1" applyBorder="1" applyAlignment="1">
      <alignment horizontal="right" vertical="center"/>
    </xf>
    <xf numFmtId="0" fontId="36" fillId="0" borderId="3" xfId="0" applyFont="1" applyBorder="1" applyAlignment="1">
      <alignment horizontal="right" vertical="center"/>
    </xf>
    <xf numFmtId="0" fontId="100" fillId="0" borderId="435" xfId="0" applyFont="1" applyBorder="1" applyAlignment="1">
      <alignment vertical="center"/>
    </xf>
    <xf numFmtId="0" fontId="37" fillId="0" borderId="436" xfId="0" applyFont="1" applyBorder="1" applyAlignment="1">
      <alignment vertical="center"/>
    </xf>
    <xf numFmtId="0" fontId="37" fillId="0" borderId="437" xfId="0" applyFont="1" applyFill="1" applyBorder="1" applyAlignment="1">
      <alignment vertical="center"/>
    </xf>
    <xf numFmtId="0" fontId="37" fillId="0" borderId="438" xfId="0" applyFont="1" applyBorder="1" applyAlignment="1">
      <alignment vertical="center"/>
    </xf>
    <xf numFmtId="0" fontId="89" fillId="0" borderId="407" xfId="0" applyFont="1" applyBorder="1" applyAlignment="1">
      <alignment horizontal="right" vertical="center"/>
    </xf>
    <xf numFmtId="0" fontId="89" fillId="0" borderId="404" xfId="0" applyFont="1" applyBorder="1" applyAlignment="1">
      <alignment horizontal="right" vertical="center"/>
    </xf>
    <xf numFmtId="0" fontId="89" fillId="0" borderId="262" xfId="0" applyFont="1" applyBorder="1" applyAlignment="1">
      <alignment horizontal="right" vertical="center"/>
    </xf>
    <xf numFmtId="0" fontId="89" fillId="0" borderId="305" xfId="0" applyFont="1" applyBorder="1" applyAlignment="1">
      <alignment horizontal="right" vertical="center"/>
    </xf>
    <xf numFmtId="0" fontId="89" fillId="0" borderId="398" xfId="0" applyFont="1" applyBorder="1" applyAlignment="1">
      <alignment horizontal="right" vertical="center"/>
    </xf>
    <xf numFmtId="0" fontId="89" fillId="0" borderId="303" xfId="0" applyFont="1" applyBorder="1" applyAlignment="1">
      <alignment horizontal="right" vertical="center"/>
    </xf>
    <xf numFmtId="0" fontId="89" fillId="0" borderId="103" xfId="0" applyFont="1" applyBorder="1" applyAlignment="1">
      <alignment horizontal="right" vertical="center"/>
    </xf>
    <xf numFmtId="0" fontId="89" fillId="0" borderId="234" xfId="0" applyFont="1" applyBorder="1" applyAlignment="1">
      <alignment horizontal="right" vertical="center"/>
    </xf>
    <xf numFmtId="0" fontId="140" fillId="10" borderId="102" xfId="0" applyFont="1" applyFill="1" applyBorder="1" applyAlignment="1">
      <alignment vertical="center"/>
    </xf>
    <xf numFmtId="0" fontId="89" fillId="0" borderId="2" xfId="0" applyFont="1" applyBorder="1" applyAlignment="1">
      <alignment horizontal="right" vertical="center"/>
    </xf>
    <xf numFmtId="0" fontId="89" fillId="0" borderId="124" xfId="0" applyFont="1" applyBorder="1" applyAlignment="1">
      <alignment horizontal="right" vertical="center"/>
    </xf>
    <xf numFmtId="0" fontId="89" fillId="0" borderId="431" xfId="0" applyFont="1" applyBorder="1" applyAlignment="1">
      <alignment horizontal="right" vertical="center"/>
    </xf>
    <xf numFmtId="0" fontId="34" fillId="0" borderId="203" xfId="0" applyFont="1" applyBorder="1" applyAlignment="1">
      <alignment horizontal="center" vertical="center"/>
    </xf>
    <xf numFmtId="0" fontId="9" fillId="0" borderId="439" xfId="0" applyFont="1" applyBorder="1" applyAlignment="1">
      <alignment horizontal="center" vertical="center"/>
    </xf>
    <xf numFmtId="0" fontId="36" fillId="0" borderId="440" xfId="0" applyFont="1" applyBorder="1" applyAlignment="1">
      <alignment horizontal="right" vertical="center"/>
    </xf>
    <xf numFmtId="0" fontId="37" fillId="0" borderId="441" xfId="0" applyFont="1" applyBorder="1" applyAlignment="1">
      <alignment vertical="center"/>
    </xf>
    <xf numFmtId="0" fontId="37" fillId="0" borderId="442" xfId="0" applyFont="1" applyBorder="1" applyAlignment="1">
      <alignment vertical="center"/>
    </xf>
    <xf numFmtId="0" fontId="131" fillId="0" borderId="442" xfId="0" applyFont="1" applyBorder="1" applyAlignment="1">
      <alignment vertical="center"/>
    </xf>
    <xf numFmtId="0" fontId="36" fillId="0" borderId="442" xfId="0" applyFont="1" applyBorder="1" applyAlignment="1">
      <alignment horizontal="left" vertical="center"/>
    </xf>
    <xf numFmtId="0" fontId="47" fillId="0" borderId="442" xfId="0" applyFont="1" applyBorder="1" applyAlignment="1">
      <alignment horizontal="center" vertical="center"/>
    </xf>
    <xf numFmtId="0" fontId="9" fillId="0" borderId="442" xfId="0" applyFont="1" applyBorder="1" applyAlignment="1">
      <alignment horizontal="center" vertical="center"/>
    </xf>
    <xf numFmtId="0" fontId="34" fillId="0" borderId="442" xfId="0" applyFont="1" applyBorder="1" applyAlignment="1">
      <alignment horizontal="center" vertical="center"/>
    </xf>
    <xf numFmtId="0" fontId="52" fillId="0" borderId="442" xfId="0" applyFont="1" applyBorder="1" applyAlignment="1">
      <alignment horizontal="center" vertical="center"/>
    </xf>
    <xf numFmtId="0" fontId="9" fillId="0" borderId="443" xfId="0" applyFont="1" applyBorder="1" applyAlignment="1">
      <alignment horizontal="center" vertical="center"/>
    </xf>
    <xf numFmtId="49" fontId="110" fillId="0" borderId="289" xfId="0" applyNumberFormat="1" applyFont="1" applyBorder="1" applyAlignment="1">
      <alignment vertical="center" wrapText="1"/>
    </xf>
    <xf numFmtId="49" fontId="110" fillId="0" borderId="290" xfId="0" applyNumberFormat="1" applyFont="1" applyBorder="1" applyAlignment="1">
      <alignment vertical="center" wrapText="1"/>
    </xf>
    <xf numFmtId="49" fontId="110" fillId="0" borderId="291" xfId="0" applyNumberFormat="1" applyFont="1" applyBorder="1" applyAlignment="1">
      <alignment vertical="center" wrapText="1"/>
    </xf>
    <xf numFmtId="0" fontId="110" fillId="0" borderId="294" xfId="0" applyFont="1" applyBorder="1" applyAlignment="1">
      <alignment horizontal="left" vertical="center" wrapText="1"/>
    </xf>
    <xf numFmtId="0" fontId="110" fillId="0" borderId="232" xfId="0" applyFont="1" applyBorder="1" applyAlignment="1">
      <alignment horizontal="left" vertical="center" wrapText="1"/>
    </xf>
    <xf numFmtId="0" fontId="110" fillId="0" borderId="295" xfId="0" applyFont="1" applyBorder="1" applyAlignment="1">
      <alignment horizontal="left" vertical="center" wrapText="1"/>
    </xf>
    <xf numFmtId="0" fontId="110" fillId="0" borderId="222" xfId="0" applyFont="1" applyBorder="1" applyAlignment="1">
      <alignment horizontal="center" vertical="center" wrapText="1"/>
    </xf>
    <xf numFmtId="0" fontId="110" fillId="0" borderId="214" xfId="0" applyFont="1" applyBorder="1" applyAlignment="1">
      <alignment horizontal="center" vertical="center" wrapText="1"/>
    </xf>
    <xf numFmtId="0" fontId="110" fillId="0" borderId="208" xfId="0" applyFont="1" applyBorder="1" applyAlignment="1">
      <alignment horizontal="center" vertical="center" wrapText="1"/>
    </xf>
    <xf numFmtId="0" fontId="110" fillId="0" borderId="209" xfId="0" applyFont="1" applyBorder="1" applyAlignment="1">
      <alignment horizontal="center" vertical="center" wrapText="1"/>
    </xf>
    <xf numFmtId="0" fontId="34" fillId="0" borderId="344" xfId="0" applyFont="1" applyFill="1" applyBorder="1" applyAlignment="1">
      <alignment horizontal="center" vertical="center"/>
    </xf>
    <xf numFmtId="0" fontId="34" fillId="0" borderId="345" xfId="0" applyFont="1" applyFill="1" applyBorder="1" applyAlignment="1">
      <alignment horizontal="center" vertical="center"/>
    </xf>
    <xf numFmtId="0" fontId="34" fillId="0" borderId="50" xfId="0" applyFont="1" applyFill="1" applyBorder="1" applyAlignment="1">
      <alignment horizontal="center" vertical="center"/>
    </xf>
    <xf numFmtId="0" fontId="34" fillId="0" borderId="51" xfId="0" applyFont="1" applyFill="1" applyBorder="1" applyAlignment="1">
      <alignment horizontal="center" vertical="center"/>
    </xf>
    <xf numFmtId="49" fontId="110" fillId="0" borderId="294" xfId="0" applyNumberFormat="1" applyFont="1" applyBorder="1" applyAlignment="1">
      <alignment horizontal="left" vertical="center" wrapText="1"/>
    </xf>
    <xf numFmtId="49" fontId="110" fillId="0" borderId="232" xfId="0" applyNumberFormat="1" applyFont="1" applyBorder="1" applyAlignment="1">
      <alignment horizontal="left" vertical="center" wrapText="1"/>
    </xf>
    <xf numFmtId="49" fontId="110" fillId="0" borderId="295" xfId="0" applyNumberFormat="1" applyFont="1" applyBorder="1" applyAlignment="1">
      <alignment horizontal="left" vertical="center" wrapText="1"/>
    </xf>
    <xf numFmtId="0" fontId="144" fillId="0" borderId="339" xfId="0" applyFont="1" applyBorder="1" applyAlignment="1">
      <alignment horizontal="left" vertical="center" wrapText="1"/>
    </xf>
    <xf numFmtId="0" fontId="144" fillId="0" borderId="305" xfId="0" applyFont="1" applyBorder="1" applyAlignment="1">
      <alignment horizontal="left" vertical="center" wrapText="1"/>
    </xf>
    <xf numFmtId="0" fontId="144" fillId="0" borderId="340" xfId="0" applyFont="1" applyBorder="1" applyAlignment="1">
      <alignment horizontal="left" vertical="center" wrapText="1"/>
    </xf>
    <xf numFmtId="170" fontId="95" fillId="0" borderId="280" xfId="0" applyNumberFormat="1" applyFont="1" applyBorder="1" applyAlignment="1">
      <alignment horizontal="right" vertical="center"/>
    </xf>
    <xf numFmtId="170" fontId="95" fillId="0" borderId="239" xfId="0" applyNumberFormat="1" applyFont="1" applyBorder="1" applyAlignment="1">
      <alignment horizontal="right" vertical="center"/>
    </xf>
    <xf numFmtId="170" fontId="95" fillId="0" borderId="279" xfId="0" applyNumberFormat="1" applyFont="1" applyBorder="1" applyAlignment="1">
      <alignment horizontal="right" vertical="center"/>
    </xf>
    <xf numFmtId="170" fontId="95" fillId="0" borderId="286" xfId="0" applyNumberFormat="1" applyFont="1" applyBorder="1" applyAlignment="1">
      <alignment horizontal="right" vertical="center"/>
    </xf>
    <xf numFmtId="170" fontId="95" fillId="0" borderId="284" xfId="0" applyNumberFormat="1" applyFont="1" applyBorder="1" applyAlignment="1">
      <alignment horizontal="right" vertical="center"/>
    </xf>
    <xf numFmtId="170" fontId="95" fillId="0" borderId="285" xfId="0" applyNumberFormat="1" applyFont="1" applyBorder="1" applyAlignment="1">
      <alignment horizontal="right" vertical="center"/>
    </xf>
    <xf numFmtId="0" fontId="90" fillId="0" borderId="199" xfId="0" applyFont="1" applyBorder="1" applyAlignment="1">
      <alignment horizontal="center" vertical="center"/>
    </xf>
    <xf numFmtId="0" fontId="90" fillId="0" borderId="206" xfId="0" applyFont="1" applyBorder="1" applyAlignment="1">
      <alignment horizontal="center" vertical="center"/>
    </xf>
    <xf numFmtId="0" fontId="52" fillId="0" borderId="15" xfId="0" applyFont="1" applyFill="1" applyBorder="1" applyAlignment="1">
      <alignment horizontal="center" vertical="center"/>
    </xf>
    <xf numFmtId="0" fontId="40" fillId="0" borderId="11" xfId="0" applyFont="1" applyFill="1" applyBorder="1" applyAlignment="1">
      <alignment horizontal="left" vertical="center"/>
    </xf>
    <xf numFmtId="0" fontId="96" fillId="0" borderId="283" xfId="0" applyFont="1" applyBorder="1" applyAlignment="1">
      <alignment horizontal="left" vertical="center" wrapText="1"/>
    </xf>
    <xf numFmtId="0" fontId="96" fillId="0" borderId="284" xfId="0" applyFont="1" applyBorder="1" applyAlignment="1">
      <alignment horizontal="left" vertical="center" wrapText="1"/>
    </xf>
    <xf numFmtId="0" fontId="96" fillId="0" borderId="349" xfId="0" applyFont="1" applyBorder="1" applyAlignment="1">
      <alignment horizontal="left" vertical="center" wrapText="1"/>
    </xf>
    <xf numFmtId="0" fontId="112" fillId="0" borderId="196" xfId="0" applyFont="1" applyBorder="1" applyAlignment="1">
      <alignment horizontal="center" vertical="center"/>
    </xf>
    <xf numFmtId="0" fontId="112" fillId="0" borderId="198" xfId="0" applyFont="1" applyBorder="1" applyAlignment="1">
      <alignment horizontal="center" vertical="center"/>
    </xf>
    <xf numFmtId="0" fontId="112" fillId="0" borderId="247" xfId="0" applyFont="1" applyBorder="1" applyAlignment="1">
      <alignment horizontal="center" vertical="center"/>
    </xf>
    <xf numFmtId="0" fontId="112" fillId="0" borderId="0" xfId="0" applyFont="1" applyBorder="1" applyAlignment="1">
      <alignment horizontal="center" vertical="center"/>
    </xf>
    <xf numFmtId="0" fontId="133" fillId="0" borderId="276" xfId="0" applyFont="1" applyBorder="1" applyAlignment="1">
      <alignment horizontal="left" vertical="center"/>
    </xf>
    <xf numFmtId="0" fontId="133" fillId="0" borderId="198" xfId="0" applyFont="1" applyBorder="1" applyAlignment="1">
      <alignment horizontal="left" vertical="center"/>
    </xf>
    <xf numFmtId="0" fontId="133" fillId="0" borderId="197" xfId="0" applyFont="1" applyBorder="1" applyAlignment="1">
      <alignment horizontal="left" vertical="center"/>
    </xf>
    <xf numFmtId="0" fontId="133" fillId="0" borderId="215" xfId="0" applyFont="1" applyBorder="1" applyAlignment="1">
      <alignment horizontal="left" vertical="center"/>
    </xf>
    <xf numFmtId="0" fontId="133" fillId="0" borderId="0" xfId="0" applyFont="1" applyBorder="1" applyAlignment="1">
      <alignment horizontal="left" vertical="center"/>
    </xf>
    <xf numFmtId="0" fontId="133" fillId="0" borderId="248" xfId="0" applyFont="1" applyBorder="1" applyAlignment="1">
      <alignment horizontal="left" vertical="center"/>
    </xf>
    <xf numFmtId="0" fontId="96" fillId="0" borderId="238" xfId="0" applyFont="1" applyBorder="1" applyAlignment="1">
      <alignment horizontal="left" vertical="center"/>
    </xf>
    <xf numFmtId="0" fontId="96" fillId="0" borderId="239" xfId="0" applyFont="1" applyBorder="1" applyAlignment="1">
      <alignment horizontal="left" vertical="center"/>
    </xf>
    <xf numFmtId="0" fontId="96" fillId="0" borderId="348" xfId="0" applyFont="1" applyBorder="1" applyAlignment="1">
      <alignment horizontal="left" vertical="center"/>
    </xf>
    <xf numFmtId="0" fontId="96" fillId="0" borderId="347" xfId="0" applyFont="1" applyBorder="1" applyAlignment="1">
      <alignment horizontal="left" vertical="center" wrapText="1"/>
    </xf>
    <xf numFmtId="0" fontId="96" fillId="0" borderId="350" xfId="0" applyFont="1" applyBorder="1" applyAlignment="1">
      <alignment horizontal="left" vertical="center" wrapText="1"/>
    </xf>
    <xf numFmtId="0" fontId="96" fillId="0" borderId="351" xfId="0" applyFont="1" applyBorder="1" applyAlignment="1">
      <alignment horizontal="left" vertical="center" wrapText="1"/>
    </xf>
    <xf numFmtId="0" fontId="44" fillId="0" borderId="422" xfId="0" applyFont="1" applyBorder="1" applyAlignment="1">
      <alignment horizontal="left" vertical="center" wrapText="1"/>
    </xf>
    <xf numFmtId="0" fontId="44" fillId="0" borderId="239" xfId="0" applyFont="1" applyBorder="1" applyAlignment="1">
      <alignment horizontal="left" vertical="center" wrapText="1"/>
    </xf>
    <xf numFmtId="0" fontId="44" fillId="0" borderId="348" xfId="0" applyFont="1" applyBorder="1" applyAlignment="1">
      <alignment horizontal="left" vertical="center" wrapText="1"/>
    </xf>
    <xf numFmtId="0" fontId="140" fillId="0" borderId="420" xfId="0" applyFont="1" applyBorder="1" applyAlignment="1">
      <alignment horizontal="left" vertical="center" wrapText="1"/>
    </xf>
    <xf numFmtId="0" fontId="140" fillId="0" borderId="203" xfId="0" applyFont="1" applyBorder="1" applyAlignment="1">
      <alignment horizontal="left" vertical="center" wrapText="1"/>
    </xf>
    <xf numFmtId="0" fontId="140" fillId="0" borderId="421" xfId="0" applyFont="1" applyBorder="1" applyAlignment="1">
      <alignment horizontal="left" vertical="center" wrapText="1"/>
    </xf>
    <xf numFmtId="0" fontId="41" fillId="0" borderId="12" xfId="0" applyFont="1" applyFill="1" applyBorder="1" applyAlignment="1">
      <alignment horizontal="center" vertical="center"/>
    </xf>
    <xf numFmtId="0" fontId="90" fillId="0" borderId="238" xfId="0" applyFont="1" applyBorder="1" applyAlignment="1">
      <alignment horizontal="left" vertical="center" wrapText="1"/>
    </xf>
    <xf numFmtId="0" fontId="90" fillId="0" borderId="239" xfId="0" applyFont="1" applyBorder="1" applyAlignment="1">
      <alignment horizontal="left" vertical="center" wrapText="1"/>
    </xf>
    <xf numFmtId="0" fontId="90" fillId="0" borderId="279" xfId="0" applyFont="1" applyBorder="1" applyAlignment="1">
      <alignment horizontal="left" vertical="center" wrapText="1"/>
    </xf>
    <xf numFmtId="0" fontId="90" fillId="0" borderId="196" xfId="0" applyFont="1" applyBorder="1" applyAlignment="1">
      <alignment horizontal="center" vertical="center"/>
    </xf>
    <xf numFmtId="0" fontId="90" fillId="0" borderId="198" xfId="0" applyFont="1" applyBorder="1" applyAlignment="1">
      <alignment horizontal="center" vertical="center"/>
    </xf>
    <xf numFmtId="0" fontId="90" fillId="0" borderId="202" xfId="0" applyFont="1" applyBorder="1" applyAlignment="1">
      <alignment horizontal="center" vertical="center"/>
    </xf>
    <xf numFmtId="0" fontId="90" fillId="0" borderId="203" xfId="0" applyFont="1" applyBorder="1" applyAlignment="1">
      <alignment horizontal="center" vertical="center"/>
    </xf>
    <xf numFmtId="0" fontId="111" fillId="0" borderId="199" xfId="0" applyFont="1" applyBorder="1" applyAlignment="1">
      <alignment horizontal="center" vertical="center" wrapText="1"/>
    </xf>
    <xf numFmtId="0" fontId="111" fillId="0" borderId="200" xfId="0" applyFont="1" applyBorder="1" applyAlignment="1">
      <alignment horizontal="center" vertical="center" wrapText="1"/>
    </xf>
    <xf numFmtId="0" fontId="111" fillId="0" borderId="201" xfId="0" applyFont="1" applyBorder="1" applyAlignment="1">
      <alignment horizontal="center" vertical="center" wrapText="1"/>
    </xf>
    <xf numFmtId="0" fontId="111" fillId="0" borderId="204" xfId="0" applyFont="1" applyBorder="1" applyAlignment="1">
      <alignment horizontal="center" vertical="center" wrapText="1"/>
    </xf>
    <xf numFmtId="0" fontId="111" fillId="0" borderId="203" xfId="0" applyFont="1" applyBorder="1" applyAlignment="1">
      <alignment horizontal="center" vertical="center" wrapText="1"/>
    </xf>
    <xf numFmtId="0" fontId="111" fillId="0" borderId="205" xfId="0" applyFont="1" applyBorder="1" applyAlignment="1">
      <alignment horizontal="center" vertical="center" wrapText="1"/>
    </xf>
    <xf numFmtId="0" fontId="90" fillId="0" borderId="276" xfId="0" applyFont="1" applyBorder="1" applyAlignment="1">
      <alignment horizontal="center" vertical="center"/>
    </xf>
    <xf numFmtId="0" fontId="90" fillId="0" borderId="275" xfId="0" applyFont="1" applyBorder="1" applyAlignment="1">
      <alignment horizontal="center" vertical="center"/>
    </xf>
    <xf numFmtId="0" fontId="90" fillId="0" borderId="257" xfId="0" applyFont="1" applyBorder="1" applyAlignment="1">
      <alignment horizontal="center" vertical="center"/>
    </xf>
    <xf numFmtId="0" fontId="90" fillId="0" borderId="205" xfId="0" applyFont="1" applyBorder="1" applyAlignment="1">
      <alignment horizontal="center" vertical="center"/>
    </xf>
    <xf numFmtId="0" fontId="41" fillId="0" borderId="346" xfId="0" applyFont="1" applyFill="1" applyBorder="1" applyAlignment="1">
      <alignment horizontal="left" vertical="center"/>
    </xf>
    <xf numFmtId="0" fontId="41" fillId="0" borderId="31" xfId="0" applyFont="1" applyFill="1" applyBorder="1" applyAlignment="1">
      <alignment horizontal="left" vertical="center"/>
    </xf>
    <xf numFmtId="0" fontId="41" fillId="0" borderId="52" xfId="0" applyFont="1" applyFill="1" applyBorder="1" applyAlignment="1">
      <alignment horizontal="left" vertical="center"/>
    </xf>
    <xf numFmtId="0" fontId="41" fillId="0" borderId="33" xfId="0" applyFont="1" applyFill="1" applyBorder="1" applyAlignment="1">
      <alignment horizontal="left" vertical="center"/>
    </xf>
    <xf numFmtId="0" fontId="90" fillId="0" borderId="283" xfId="0" applyFont="1" applyBorder="1" applyAlignment="1">
      <alignment horizontal="left" vertical="center" wrapText="1"/>
    </xf>
    <xf numFmtId="0" fontId="90" fillId="0" borderId="284" xfId="0" applyFont="1" applyBorder="1" applyAlignment="1">
      <alignment horizontal="left" vertical="center" wrapText="1"/>
    </xf>
    <xf numFmtId="0" fontId="90" fillId="0" borderId="285" xfId="0" applyFont="1" applyBorder="1" applyAlignment="1">
      <alignment horizontal="left" vertical="center" wrapText="1"/>
    </xf>
    <xf numFmtId="0" fontId="8" fillId="0" borderId="0" xfId="0" applyFont="1" applyFill="1" applyAlignment="1">
      <alignment horizontal="center" vertical="center"/>
    </xf>
    <xf numFmtId="0" fontId="116" fillId="0" borderId="196" xfId="0" applyFont="1" applyBorder="1" applyAlignment="1">
      <alignment horizontal="center" vertical="center" wrapText="1"/>
    </xf>
    <xf numFmtId="0" fontId="116" fillId="0" borderId="198" xfId="0" applyFont="1" applyBorder="1" applyAlignment="1">
      <alignment horizontal="center" vertical="center" wrapText="1"/>
    </xf>
    <xf numFmtId="0" fontId="116" fillId="0" borderId="197" xfId="0" applyFont="1" applyBorder="1" applyAlignment="1">
      <alignment horizontal="center" vertical="center" wrapText="1"/>
    </xf>
    <xf numFmtId="0" fontId="116" fillId="0" borderId="247" xfId="0" applyFont="1" applyBorder="1" applyAlignment="1">
      <alignment horizontal="center" vertical="center" wrapText="1"/>
    </xf>
    <xf numFmtId="0" fontId="116" fillId="0" borderId="0" xfId="0" applyFont="1" applyBorder="1" applyAlignment="1">
      <alignment horizontal="center" vertical="center" wrapText="1"/>
    </xf>
    <xf numFmtId="0" fontId="116" fillId="0" borderId="248" xfId="0" applyFont="1" applyBorder="1" applyAlignment="1">
      <alignment horizontal="center" vertical="center" wrapText="1"/>
    </xf>
    <xf numFmtId="0" fontId="116" fillId="0" borderId="249" xfId="0" applyFont="1" applyBorder="1" applyAlignment="1">
      <alignment horizontal="center" vertical="center" wrapText="1"/>
    </xf>
    <xf numFmtId="0" fontId="116" fillId="0" borderId="250" xfId="0" applyFont="1" applyBorder="1" applyAlignment="1">
      <alignment horizontal="center" vertical="center" wrapText="1"/>
    </xf>
    <xf numFmtId="0" fontId="116" fillId="0" borderId="251" xfId="0" applyFont="1" applyBorder="1" applyAlignment="1">
      <alignment horizontal="center" vertical="center" wrapText="1"/>
    </xf>
    <xf numFmtId="0" fontId="52" fillId="0" borderId="164" xfId="0" applyFont="1" applyFill="1" applyBorder="1" applyAlignment="1">
      <alignment horizontal="center" vertical="center"/>
    </xf>
    <xf numFmtId="0" fontId="52" fillId="0" borderId="163" xfId="0" applyFont="1" applyFill="1" applyBorder="1" applyAlignment="1">
      <alignment horizontal="center" vertical="center"/>
    </xf>
    <xf numFmtId="0" fontId="0" fillId="0" borderId="98" xfId="0" applyFill="1" applyBorder="1"/>
    <xf numFmtId="0" fontId="0" fillId="0" borderId="100" xfId="0" applyFill="1" applyBorder="1"/>
    <xf numFmtId="0" fontId="40" fillId="0" borderId="175" xfId="0" applyFont="1" applyFill="1" applyBorder="1" applyAlignment="1">
      <alignment horizontal="left" vertical="center"/>
    </xf>
    <xf numFmtId="0" fontId="40" fillId="0" borderId="98" xfId="0" applyFont="1" applyFill="1" applyBorder="1" applyAlignment="1">
      <alignment horizontal="left" vertical="center"/>
    </xf>
    <xf numFmtId="0" fontId="40" fillId="0" borderId="165" xfId="0" applyFont="1" applyFill="1" applyBorder="1" applyAlignment="1">
      <alignment horizontal="left" vertical="center"/>
    </xf>
    <xf numFmtId="0" fontId="40" fillId="0" borderId="100" xfId="0" applyFont="1" applyFill="1" applyBorder="1" applyAlignment="1">
      <alignment horizontal="left" vertical="center"/>
    </xf>
    <xf numFmtId="0" fontId="34" fillId="0" borderId="298" xfId="0" applyFont="1" applyFill="1" applyBorder="1" applyAlignment="1">
      <alignment horizontal="center" vertical="center"/>
    </xf>
    <xf numFmtId="0" fontId="34" fillId="0" borderId="299" xfId="0" applyFont="1" applyFill="1" applyBorder="1" applyAlignment="1">
      <alignment horizontal="center" vertical="center"/>
    </xf>
    <xf numFmtId="0" fontId="41" fillId="0" borderId="48" xfId="0" applyFont="1" applyFill="1" applyBorder="1" applyAlignment="1">
      <alignment horizontal="center" vertical="center"/>
    </xf>
    <xf numFmtId="0" fontId="52" fillId="0" borderId="49" xfId="0" applyFont="1" applyFill="1" applyBorder="1" applyAlignment="1">
      <alignment horizontal="center" vertical="center"/>
    </xf>
    <xf numFmtId="0" fontId="34" fillId="0" borderId="266" xfId="0" applyFont="1" applyFill="1" applyBorder="1" applyAlignment="1">
      <alignment horizontal="center" vertical="center"/>
    </xf>
    <xf numFmtId="0" fontId="34" fillId="0" borderId="267" xfId="0" applyFont="1" applyFill="1" applyBorder="1" applyAlignment="1">
      <alignment horizontal="center" vertical="center"/>
    </xf>
    <xf numFmtId="0" fontId="40" fillId="0" borderId="268" xfId="0" applyFont="1" applyFill="1" applyBorder="1" applyAlignment="1">
      <alignment horizontal="left" vertical="center"/>
    </xf>
    <xf numFmtId="0" fontId="40" fillId="0" borderId="57" xfId="0" applyFont="1" applyFill="1" applyBorder="1" applyAlignment="1">
      <alignment horizontal="left" vertical="center"/>
    </xf>
    <xf numFmtId="0" fontId="41" fillId="0" borderId="269" xfId="0" applyFont="1" applyFill="1" applyBorder="1" applyAlignment="1">
      <alignment horizontal="center" vertical="center"/>
    </xf>
    <xf numFmtId="0" fontId="41" fillId="0" borderId="58" xfId="0" applyFont="1" applyFill="1" applyBorder="1" applyAlignment="1">
      <alignment horizontal="center" vertical="center"/>
    </xf>
    <xf numFmtId="0" fontId="52" fillId="0" borderId="271" xfId="0" applyFont="1" applyFill="1" applyBorder="1" applyAlignment="1">
      <alignment horizontal="center" vertical="center"/>
    </xf>
    <xf numFmtId="0" fontId="52" fillId="0" borderId="59" xfId="0" applyFont="1" applyFill="1" applyBorder="1" applyAlignment="1">
      <alignment horizontal="center" vertical="center"/>
    </xf>
    <xf numFmtId="0" fontId="34" fillId="0" borderId="10" xfId="0" applyFont="1" applyFill="1" applyBorder="1" applyAlignment="1">
      <alignment horizontal="center" vertical="center"/>
    </xf>
    <xf numFmtId="0" fontId="41" fillId="0" borderId="218" xfId="0" applyFont="1" applyFill="1" applyBorder="1" applyAlignment="1">
      <alignment horizontal="left" vertical="center"/>
    </xf>
    <xf numFmtId="0" fontId="41" fillId="0" borderId="13" xfId="0" applyFont="1" applyFill="1" applyBorder="1" applyAlignment="1">
      <alignment horizontal="left" vertical="center"/>
    </xf>
    <xf numFmtId="0" fontId="41" fillId="0" borderId="55" xfId="0" applyFont="1" applyFill="1" applyBorder="1" applyAlignment="1">
      <alignment horizontal="left" vertical="center"/>
    </xf>
    <xf numFmtId="0" fontId="41" fillId="0" borderId="2" xfId="0" applyFont="1" applyFill="1" applyBorder="1" applyAlignment="1">
      <alignment horizontal="left" vertical="center"/>
    </xf>
    <xf numFmtId="0" fontId="43" fillId="0" borderId="154" xfId="0" applyFont="1" applyFill="1" applyBorder="1" applyAlignment="1">
      <alignment horizontal="center" vertical="center"/>
    </xf>
    <xf numFmtId="0" fontId="43" fillId="0" borderId="146" xfId="0" applyFont="1" applyFill="1" applyBorder="1" applyAlignment="1">
      <alignment horizontal="center" vertical="center"/>
    </xf>
    <xf numFmtId="0" fontId="34" fillId="0" borderId="111" xfId="0" applyFont="1" applyFill="1" applyBorder="1" applyAlignment="1">
      <alignment horizontal="center" vertical="center"/>
    </xf>
    <xf numFmtId="0" fontId="40" fillId="0" borderId="112" xfId="0" applyFont="1" applyFill="1" applyBorder="1" applyAlignment="1">
      <alignment horizontal="left" vertical="center"/>
    </xf>
    <xf numFmtId="0" fontId="41" fillId="0" borderId="98" xfId="0" applyFont="1" applyFill="1" applyBorder="1" applyAlignment="1">
      <alignment horizontal="center" vertical="center"/>
    </xf>
    <xf numFmtId="0" fontId="41" fillId="0" borderId="2" xfId="0" applyFont="1" applyFill="1" applyBorder="1" applyAlignment="1">
      <alignment horizontal="center" vertical="center"/>
    </xf>
    <xf numFmtId="0" fontId="43" fillId="0" borderId="15" xfId="0" applyFont="1" applyFill="1" applyBorder="1" applyAlignment="1">
      <alignment horizontal="center" vertical="center"/>
    </xf>
    <xf numFmtId="0" fontId="9" fillId="0" borderId="10" xfId="0" applyFont="1" applyFill="1" applyBorder="1" applyAlignment="1">
      <alignment horizontal="center" vertical="center"/>
    </xf>
    <xf numFmtId="0" fontId="40" fillId="0" borderId="80" xfId="0" applyFont="1" applyFill="1" applyBorder="1" applyAlignment="1">
      <alignment horizontal="left" vertical="center"/>
    </xf>
    <xf numFmtId="0" fontId="41" fillId="0" borderId="81" xfId="0" applyFont="1" applyFill="1" applyBorder="1" applyAlignment="1">
      <alignment horizontal="center" vertical="center"/>
    </xf>
    <xf numFmtId="0" fontId="52" fillId="0" borderId="84" xfId="0" applyFont="1" applyFill="1" applyBorder="1" applyAlignment="1">
      <alignment horizontal="center" vertical="center"/>
    </xf>
    <xf numFmtId="0" fontId="9" fillId="0" borderId="79" xfId="0" applyFont="1" applyFill="1" applyBorder="1" applyAlignment="1">
      <alignment horizontal="center" vertical="center"/>
    </xf>
    <xf numFmtId="0" fontId="19" fillId="0" borderId="2" xfId="0" applyFont="1" applyFill="1" applyBorder="1" applyAlignment="1">
      <alignment horizontal="left" vertical="center"/>
    </xf>
    <xf numFmtId="0" fontId="0" fillId="0" borderId="3" xfId="0" applyFill="1" applyBorder="1"/>
    <xf numFmtId="0" fontId="0" fillId="0" borderId="0" xfId="0" applyFont="1" applyAlignment="1">
      <alignment horizontal="left" vertical="top" wrapText="1"/>
    </xf>
    <xf numFmtId="9" fontId="105" fillId="0" borderId="5" xfId="0" applyNumberFormat="1" applyFont="1" applyFill="1" applyBorder="1" applyAlignment="1">
      <alignment horizontal="center"/>
    </xf>
    <xf numFmtId="9" fontId="33" fillId="0" borderId="6" xfId="3" applyFont="1" applyFill="1" applyBorder="1" applyAlignment="1">
      <alignment horizontal="center" vertical="center"/>
    </xf>
    <xf numFmtId="9" fontId="105" fillId="0" borderId="7" xfId="0" applyNumberFormat="1" applyFont="1" applyFill="1" applyBorder="1" applyAlignment="1">
      <alignment horizontal="center"/>
    </xf>
    <xf numFmtId="0" fontId="22" fillId="0" borderId="3" xfId="0" applyFont="1" applyFill="1" applyBorder="1" applyAlignment="1">
      <alignment horizontal="left" vertical="center"/>
    </xf>
    <xf numFmtId="0" fontId="109" fillId="5" borderId="4" xfId="0" applyFont="1" applyFill="1" applyBorder="1" applyAlignment="1">
      <alignment horizontal="center" vertical="center"/>
    </xf>
    <xf numFmtId="0" fontId="18" fillId="0" borderId="3" xfId="0" applyFont="1" applyFill="1" applyBorder="1" applyAlignment="1">
      <alignment horizontal="center" vertical="center"/>
    </xf>
    <xf numFmtId="9" fontId="33" fillId="0" borderId="6" xfId="3" applyFont="1" applyFill="1" applyBorder="1" applyAlignment="1">
      <alignment horizontal="center" vertical="center" shrinkToFit="1"/>
    </xf>
    <xf numFmtId="0" fontId="13" fillId="0" borderId="0" xfId="0" applyFont="1" applyAlignment="1">
      <alignment horizontal="left" vertical="center"/>
    </xf>
    <xf numFmtId="0" fontId="40" fillId="0" borderId="96" xfId="0" applyFont="1" applyFill="1" applyBorder="1" applyAlignment="1">
      <alignment horizontal="left" vertical="center"/>
    </xf>
    <xf numFmtId="0" fontId="52" fillId="0" borderId="99" xfId="0" applyFont="1" applyFill="1" applyBorder="1" applyAlignment="1">
      <alignment horizontal="center" vertical="center"/>
    </xf>
    <xf numFmtId="0" fontId="40" fillId="0" borderId="218"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219" xfId="0" applyFont="1" applyFill="1" applyBorder="1" applyAlignment="1">
      <alignment horizontal="center" vertical="center"/>
    </xf>
    <xf numFmtId="0" fontId="40" fillId="0" borderId="16" xfId="0" applyFont="1" applyFill="1" applyBorder="1" applyAlignment="1">
      <alignment horizontal="center" vertical="center"/>
    </xf>
    <xf numFmtId="0" fontId="34" fillId="0" borderId="212" xfId="0" applyFont="1" applyFill="1" applyBorder="1" applyAlignment="1">
      <alignment horizontal="center" vertical="center"/>
    </xf>
    <xf numFmtId="0" fontId="34" fillId="0" borderId="220" xfId="0" applyFont="1" applyFill="1" applyBorder="1" applyAlignment="1">
      <alignment horizontal="center" vertical="center"/>
    </xf>
    <xf numFmtId="0" fontId="52" fillId="0" borderId="216" xfId="0" applyFont="1" applyFill="1" applyBorder="1" applyAlignment="1">
      <alignment horizontal="center" vertical="center"/>
    </xf>
    <xf numFmtId="0" fontId="52" fillId="0" borderId="217" xfId="0" applyFont="1" applyFill="1" applyBorder="1" applyAlignment="1">
      <alignment horizontal="center" vertical="center"/>
    </xf>
    <xf numFmtId="0" fontId="43" fillId="0" borderId="49" xfId="0" applyFont="1" applyFill="1" applyBorder="1" applyAlignment="1">
      <alignment horizontal="center" vertical="center"/>
    </xf>
    <xf numFmtId="0" fontId="40" fillId="0" borderId="30" xfId="0" applyFont="1" applyFill="1" applyBorder="1" applyAlignment="1">
      <alignment horizontal="left" vertical="center"/>
    </xf>
    <xf numFmtId="0" fontId="34" fillId="0" borderId="47" xfId="0" applyFont="1" applyFill="1" applyBorder="1" applyAlignment="1">
      <alignment horizontal="center" vertical="center"/>
    </xf>
    <xf numFmtId="0" fontId="91" fillId="0" borderId="213" xfId="0" applyFont="1" applyBorder="1" applyAlignment="1">
      <alignment horizontal="left" vertical="center"/>
    </xf>
    <xf numFmtId="0" fontId="91" fillId="0" borderId="13" xfId="0" applyFont="1" applyBorder="1" applyAlignment="1">
      <alignment horizontal="left" vertical="center"/>
    </xf>
    <xf numFmtId="0" fontId="91" fillId="0" borderId="215" xfId="0" applyFont="1" applyBorder="1" applyAlignment="1">
      <alignment horizontal="left" vertical="center"/>
    </xf>
    <xf numFmtId="0" fontId="91" fillId="0" borderId="0" xfId="0" applyFont="1" applyBorder="1" applyAlignment="1">
      <alignment horizontal="left" vertical="center"/>
    </xf>
    <xf numFmtId="0" fontId="52" fillId="0" borderId="260" xfId="0" applyFont="1" applyFill="1" applyBorder="1" applyAlignment="1">
      <alignment horizontal="center" vertical="center"/>
    </xf>
    <xf numFmtId="0" fontId="52" fillId="0" borderId="160" xfId="0" applyFont="1" applyFill="1" applyBorder="1" applyAlignment="1">
      <alignment horizontal="center" vertical="center"/>
    </xf>
    <xf numFmtId="0" fontId="41" fillId="0" borderId="161" xfId="0" applyFont="1" applyFill="1" applyBorder="1" applyAlignment="1">
      <alignment horizontal="left" vertical="center"/>
    </xf>
    <xf numFmtId="0" fontId="41" fillId="0" borderId="0" xfId="0" applyFont="1" applyFill="1" applyBorder="1" applyAlignment="1">
      <alignment horizontal="left" vertical="center"/>
    </xf>
    <xf numFmtId="0" fontId="52" fillId="0" borderId="77" xfId="0" applyFont="1" applyFill="1" applyBorder="1" applyAlignment="1">
      <alignment horizontal="center" vertical="center"/>
    </xf>
    <xf numFmtId="0" fontId="52" fillId="0" borderId="54" xfId="0" applyFont="1" applyFill="1" applyBorder="1" applyAlignment="1">
      <alignment horizontal="center" vertical="center"/>
    </xf>
    <xf numFmtId="0" fontId="52" fillId="0" borderId="221" xfId="0" applyFont="1" applyFill="1" applyBorder="1" applyAlignment="1">
      <alignment horizontal="center" vertical="center"/>
    </xf>
    <xf numFmtId="0" fontId="106" fillId="14" borderId="358" xfId="0" applyFont="1" applyFill="1" applyBorder="1" applyAlignment="1">
      <alignment horizontal="center" vertical="center"/>
    </xf>
    <xf numFmtId="0" fontId="106" fillId="14" borderId="0" xfId="0" applyFont="1" applyFill="1" applyBorder="1" applyAlignment="1">
      <alignment horizontal="center" vertical="center"/>
    </xf>
    <xf numFmtId="0" fontId="34" fillId="0" borderId="95" xfId="0" applyFont="1" applyFill="1" applyBorder="1" applyAlignment="1">
      <alignment horizontal="center" vertical="center"/>
    </xf>
    <xf numFmtId="0" fontId="73" fillId="0" borderId="175" xfId="0" applyFont="1" applyFill="1" applyBorder="1" applyAlignment="1">
      <alignment horizontal="left" vertical="center"/>
    </xf>
    <xf numFmtId="0" fontId="73" fillId="0" borderId="98" xfId="0" applyFont="1" applyFill="1" applyBorder="1" applyAlignment="1">
      <alignment horizontal="left" vertical="center"/>
    </xf>
    <xf numFmtId="0" fontId="73" fillId="0" borderId="55" xfId="0" applyFont="1" applyFill="1" applyBorder="1" applyAlignment="1">
      <alignment horizontal="left" vertical="center"/>
    </xf>
    <xf numFmtId="0" fontId="73" fillId="0" borderId="2" xfId="0" applyFont="1" applyFill="1" applyBorder="1" applyAlignment="1">
      <alignment horizontal="left" vertical="center"/>
    </xf>
    <xf numFmtId="0" fontId="52" fillId="0" borderId="143" xfId="0" applyFont="1" applyFill="1" applyBorder="1" applyAlignment="1">
      <alignment horizontal="center" vertical="center"/>
    </xf>
    <xf numFmtId="0" fontId="88" fillId="14" borderId="355" xfId="0" applyFont="1" applyFill="1" applyBorder="1" applyAlignment="1">
      <alignment horizontal="center" vertical="center"/>
    </xf>
    <xf numFmtId="0" fontId="88" fillId="14" borderId="356" xfId="0" applyFont="1" applyFill="1" applyBorder="1" applyAlignment="1">
      <alignment horizontal="center" vertical="center"/>
    </xf>
    <xf numFmtId="0" fontId="52" fillId="14" borderId="380" xfId="0" applyFont="1" applyFill="1" applyBorder="1" applyAlignment="1">
      <alignment horizontal="center" vertical="center"/>
    </xf>
    <xf numFmtId="0" fontId="52" fillId="14" borderId="381" xfId="0" applyFont="1" applyFill="1" applyBorder="1" applyAlignment="1">
      <alignment horizontal="center" vertical="center"/>
    </xf>
    <xf numFmtId="0" fontId="34" fillId="0" borderId="298" xfId="0" applyFont="1" applyBorder="1" applyAlignment="1">
      <alignment horizontal="center" vertical="center"/>
    </xf>
    <xf numFmtId="0" fontId="34" fillId="0" borderId="299" xfId="0" applyFont="1" applyBorder="1" applyAlignment="1">
      <alignment horizontal="center" vertical="center"/>
    </xf>
    <xf numFmtId="0" fontId="40" fillId="0" borderId="175" xfId="0" applyFont="1" applyBorder="1" applyAlignment="1">
      <alignment horizontal="left" vertical="center"/>
    </xf>
    <xf numFmtId="0" fontId="40" fillId="0" borderId="98" xfId="0" applyFont="1" applyBorder="1" applyAlignment="1">
      <alignment horizontal="left" vertical="center"/>
    </xf>
    <xf numFmtId="0" fontId="40" fillId="0" borderId="165" xfId="0" applyFont="1" applyBorder="1" applyAlignment="1">
      <alignment horizontal="left" vertical="center"/>
    </xf>
    <xf numFmtId="0" fontId="40" fillId="0" borderId="100" xfId="0" applyFont="1" applyBorder="1" applyAlignment="1">
      <alignment horizontal="left" vertical="center"/>
    </xf>
    <xf numFmtId="0" fontId="52" fillId="0" borderId="164" xfId="0" applyFont="1" applyBorder="1" applyAlignment="1">
      <alignment horizontal="center" vertical="center"/>
    </xf>
    <xf numFmtId="0" fontId="52" fillId="0" borderId="163" xfId="0" applyFont="1" applyBorder="1" applyAlignment="1">
      <alignment horizontal="center" vertical="center"/>
    </xf>
    <xf numFmtId="0" fontId="134" fillId="14" borderId="357" xfId="0" applyFont="1" applyFill="1" applyBorder="1" applyAlignment="1">
      <alignment horizontal="left" vertical="center"/>
    </xf>
    <xf numFmtId="0" fontId="54" fillId="14" borderId="358" xfId="0" applyFont="1" applyFill="1" applyBorder="1" applyAlignment="1">
      <alignment horizontal="left" vertical="center"/>
    </xf>
    <xf numFmtId="0" fontId="54" fillId="14" borderId="161" xfId="0" applyFont="1" applyFill="1" applyBorder="1" applyAlignment="1">
      <alignment horizontal="left" vertical="center"/>
    </xf>
    <xf numFmtId="0" fontId="54" fillId="14" borderId="0" xfId="0" applyFont="1" applyFill="1" applyBorder="1" applyAlignment="1">
      <alignment horizontal="left" vertical="center"/>
    </xf>
    <xf numFmtId="0" fontId="79" fillId="0" borderId="167" xfId="0" applyFont="1" applyFill="1" applyBorder="1" applyAlignment="1">
      <alignment horizontal="center"/>
    </xf>
    <xf numFmtId="0" fontId="0" fillId="0" borderId="137" xfId="0" applyFill="1" applyBorder="1" applyAlignment="1">
      <alignment horizontal="center"/>
    </xf>
    <xf numFmtId="164" fontId="78" fillId="0" borderId="4" xfId="0" applyNumberFormat="1" applyFont="1" applyFill="1" applyBorder="1" applyAlignment="1">
      <alignment horizontal="right" vertical="center"/>
    </xf>
    <xf numFmtId="0" fontId="37" fillId="0" borderId="8" xfId="0" applyFont="1" applyFill="1" applyBorder="1" applyAlignment="1">
      <alignment horizontal="left" vertical="center"/>
    </xf>
    <xf numFmtId="164" fontId="31" fillId="0" borderId="4" xfId="0" applyNumberFormat="1" applyFont="1" applyFill="1" applyBorder="1" applyAlignment="1">
      <alignment horizontal="right" vertical="center"/>
    </xf>
    <xf numFmtId="0" fontId="12" fillId="0" borderId="76" xfId="0" applyFont="1" applyBorder="1" applyAlignment="1">
      <alignment horizontal="center" vertical="center"/>
    </xf>
    <xf numFmtId="0" fontId="12" fillId="0" borderId="1" xfId="0" applyFont="1" applyBorder="1" applyAlignment="1">
      <alignment horizontal="center" vertical="center"/>
    </xf>
    <xf numFmtId="0" fontId="12" fillId="0" borderId="74" xfId="0" applyFont="1" applyBorder="1" applyAlignment="1">
      <alignment horizontal="center" vertical="center"/>
    </xf>
    <xf numFmtId="0" fontId="12" fillId="0" borderId="161" xfId="0" applyFont="1" applyBorder="1" applyAlignment="1">
      <alignment horizontal="center" vertical="center"/>
    </xf>
    <xf numFmtId="0" fontId="12" fillId="0" borderId="0" xfId="0" applyFont="1" applyBorder="1" applyAlignment="1">
      <alignment horizontal="center" vertical="center"/>
    </xf>
    <xf numFmtId="0" fontId="12" fillId="0" borderId="160" xfId="0" applyFont="1" applyBorder="1" applyAlignment="1">
      <alignment horizontal="center" vertical="center"/>
    </xf>
    <xf numFmtId="0" fontId="12" fillId="0" borderId="2" xfId="0" applyFont="1" applyBorder="1" applyAlignment="1">
      <alignment horizontal="center" vertical="center"/>
    </xf>
    <xf numFmtId="0" fontId="12" fillId="0" borderId="54" xfId="0" applyFont="1" applyBorder="1" applyAlignment="1">
      <alignment horizontal="center" vertical="center"/>
    </xf>
    <xf numFmtId="0" fontId="37" fillId="0" borderId="74" xfId="0" applyFont="1" applyFill="1" applyBorder="1" applyAlignment="1">
      <alignment horizontal="left" vertical="center"/>
    </xf>
    <xf numFmtId="0" fontId="40" fillId="0" borderId="4" xfId="0" applyFont="1" applyFill="1" applyBorder="1" applyAlignment="1">
      <alignment horizontal="left" vertical="center"/>
    </xf>
    <xf numFmtId="0" fontId="91" fillId="0" borderId="207" xfId="0" applyFont="1" applyBorder="1" applyAlignment="1">
      <alignment horizontal="center" vertical="center" wrapText="1"/>
    </xf>
    <xf numFmtId="0" fontId="91" fillId="0" borderId="200" xfId="0" applyFont="1" applyBorder="1" applyAlignment="1">
      <alignment horizontal="center" vertical="center" wrapText="1"/>
    </xf>
    <xf numFmtId="0" fontId="91" fillId="0" borderId="201" xfId="0" applyFont="1" applyBorder="1" applyAlignment="1">
      <alignment horizontal="center" vertical="center" wrapText="1"/>
    </xf>
    <xf numFmtId="0" fontId="91" fillId="0" borderId="215"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223" xfId="0" applyFont="1" applyBorder="1" applyAlignment="1">
      <alignment horizontal="center" vertical="center" wrapText="1"/>
    </xf>
    <xf numFmtId="0" fontId="91" fillId="0" borderId="210" xfId="0" applyFont="1" applyBorder="1" applyAlignment="1">
      <alignment horizontal="center" vertical="center" wrapText="1"/>
    </xf>
    <xf numFmtId="0" fontId="91" fillId="0" borderId="16" xfId="0" applyFont="1" applyBorder="1" applyAlignment="1">
      <alignment horizontal="center" vertical="center" wrapText="1"/>
    </xf>
    <xf numFmtId="0" fontId="91" fillId="0" borderId="211" xfId="0" applyFont="1" applyBorder="1" applyAlignment="1">
      <alignment horizontal="center" vertical="center" wrapText="1"/>
    </xf>
    <xf numFmtId="0" fontId="9" fillId="0" borderId="95" xfId="0" applyFont="1" applyFill="1" applyBorder="1" applyAlignment="1">
      <alignment horizontal="center" vertical="center"/>
    </xf>
    <xf numFmtId="0" fontId="9" fillId="0" borderId="166" xfId="0" applyFont="1" applyFill="1" applyBorder="1" applyAlignment="1">
      <alignment horizontal="center" vertical="center"/>
    </xf>
    <xf numFmtId="0" fontId="52" fillId="0" borderId="170" xfId="0" applyFont="1" applyFill="1" applyBorder="1" applyAlignment="1">
      <alignment horizontal="center" vertical="center"/>
    </xf>
    <xf numFmtId="0" fontId="41" fillId="0" borderId="97" xfId="0" applyFont="1" applyFill="1" applyBorder="1" applyAlignment="1">
      <alignment horizontal="center" vertical="center"/>
    </xf>
    <xf numFmtId="0" fontId="40" fillId="0" borderId="96" xfId="0" applyFont="1" applyFill="1" applyBorder="1" applyAlignment="1">
      <alignment vertical="center"/>
    </xf>
    <xf numFmtId="0" fontId="40" fillId="0" borderId="315" xfId="0" applyFont="1" applyFill="1" applyBorder="1" applyAlignment="1">
      <alignment horizontal="left" vertical="center"/>
    </xf>
    <xf numFmtId="0" fontId="40" fillId="0" borderId="139" xfId="0" applyFont="1" applyFill="1" applyBorder="1" applyAlignment="1">
      <alignment horizontal="left" vertical="center"/>
    </xf>
    <xf numFmtId="0" fontId="40" fillId="0" borderId="316" xfId="0" applyFont="1" applyFill="1" applyBorder="1" applyAlignment="1">
      <alignment horizontal="left" vertical="center"/>
    </xf>
    <xf numFmtId="0" fontId="40" fillId="0" borderId="179" xfId="0" applyFont="1" applyFill="1" applyBorder="1" applyAlignment="1">
      <alignment horizontal="left" vertical="center"/>
    </xf>
    <xf numFmtId="0" fontId="9" fillId="0" borderId="4" xfId="0" applyFont="1" applyFill="1" applyBorder="1" applyAlignment="1">
      <alignment horizontal="center" vertical="center"/>
    </xf>
    <xf numFmtId="0" fontId="40" fillId="0" borderId="9" xfId="0" applyFont="1" applyFill="1" applyBorder="1" applyAlignment="1">
      <alignment horizontal="center" vertical="center"/>
    </xf>
    <xf numFmtId="0" fontId="76" fillId="0" borderId="1" xfId="0" applyFont="1" applyFill="1" applyBorder="1" applyAlignment="1">
      <alignment horizontal="center" vertical="center"/>
    </xf>
    <xf numFmtId="0" fontId="34" fillId="0" borderId="8" xfId="0" applyFont="1" applyFill="1" applyBorder="1" applyAlignment="1">
      <alignment horizontal="right" vertical="center" wrapText="1"/>
    </xf>
    <xf numFmtId="0" fontId="52" fillId="0" borderId="2" xfId="0" applyFont="1" applyFill="1" applyBorder="1" applyAlignment="1">
      <alignment horizontal="center" vertical="center"/>
    </xf>
    <xf numFmtId="0" fontId="35" fillId="0" borderId="1" xfId="0" applyFont="1" applyBorder="1" applyAlignment="1">
      <alignment horizontal="center" vertical="center"/>
    </xf>
    <xf numFmtId="0" fontId="35" fillId="0" borderId="74" xfId="0" applyFont="1" applyBorder="1" applyAlignment="1">
      <alignment horizontal="center" vertical="center"/>
    </xf>
    <xf numFmtId="0" fontId="0" fillId="0" borderId="97" xfId="0" applyFill="1" applyBorder="1"/>
    <xf numFmtId="0" fontId="9" fillId="0" borderId="73" xfId="0" applyFont="1" applyFill="1" applyBorder="1" applyAlignment="1">
      <alignment horizontal="center" vertical="center"/>
    </xf>
    <xf numFmtId="0" fontId="52" fillId="0" borderId="75" xfId="0" applyFont="1" applyFill="1" applyBorder="1" applyAlignment="1">
      <alignment horizontal="center" vertical="center"/>
    </xf>
    <xf numFmtId="0" fontId="9" fillId="0" borderId="176" xfId="0" applyFont="1" applyFill="1" applyBorder="1" applyAlignment="1">
      <alignment horizontal="center" vertical="center"/>
    </xf>
    <xf numFmtId="0" fontId="0" fillId="0" borderId="178" xfId="0" applyFill="1" applyBorder="1"/>
    <xf numFmtId="0" fontId="38" fillId="0" borderId="163" xfId="0" applyFont="1" applyFill="1" applyBorder="1" applyAlignment="1">
      <alignment horizontal="center" vertical="center"/>
    </xf>
    <xf numFmtId="14" fontId="83" fillId="0" borderId="0" xfId="0" applyNumberFormat="1" applyFont="1" applyAlignment="1">
      <alignment horizontal="center"/>
    </xf>
    <xf numFmtId="0" fontId="81" fillId="0" borderId="4" xfId="0" applyFont="1" applyFill="1" applyBorder="1" applyAlignment="1">
      <alignment horizontal="center"/>
    </xf>
    <xf numFmtId="0" fontId="33" fillId="0" borderId="7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2" xfId="0" applyFont="1" applyFill="1" applyBorder="1" applyAlignment="1">
      <alignment vertical="center" wrapText="1"/>
    </xf>
  </cellXfs>
  <cellStyles count="16">
    <cellStyle name="cf1" xfId="4" xr:uid="{00000000-0005-0000-0000-000000000000}"/>
    <cellStyle name="cf2" xfId="5" xr:uid="{00000000-0005-0000-0000-000001000000}"/>
    <cellStyle name="cf3" xfId="6" xr:uid="{00000000-0005-0000-0000-000002000000}"/>
    <cellStyle name="cf4" xfId="7" xr:uid="{00000000-0005-0000-0000-000003000000}"/>
    <cellStyle name="cf5" xfId="8" xr:uid="{00000000-0005-0000-0000-000004000000}"/>
    <cellStyle name="cf6" xfId="9" xr:uid="{00000000-0005-0000-0000-000005000000}"/>
    <cellStyle name="cf7" xfId="10" xr:uid="{00000000-0005-0000-0000-000006000000}"/>
    <cellStyle name="cf8" xfId="11" xr:uid="{00000000-0005-0000-0000-000007000000}"/>
    <cellStyle name="cf9" xfId="12" xr:uid="{00000000-0005-0000-0000-000008000000}"/>
    <cellStyle name="Comma" xfId="1" builtinId="3" customBuiltin="1"/>
    <cellStyle name="Currency" xfId="2" builtinId="4" customBuiltin="1"/>
    <cellStyle name="Normal" xfId="0" builtinId="0" customBuiltin="1"/>
    <cellStyle name="Normal 2" xfId="13" xr:uid="{00000000-0005-0000-0000-00000C000000}"/>
    <cellStyle name="Normal 3" xfId="14" xr:uid="{00000000-0005-0000-0000-00000D000000}"/>
    <cellStyle name="Normal 7" xfId="15" xr:uid="{00000000-0005-0000-0000-00000E000000}"/>
    <cellStyle name="Percent" xfId="3" builtinId="5" customBuiltin="1"/>
  </cellStyles>
  <dxfs count="33">
    <dxf>
      <fill>
        <patternFill patternType="solid">
          <fgColor rgb="FFD9D9D9"/>
          <bgColor rgb="FFD9D9D9"/>
        </patternFill>
      </fill>
    </dxf>
    <dxf>
      <border>
        <top style="thin">
          <color rgb="FF000000"/>
        </top>
      </border>
    </dxf>
    <dxf>
      <font>
        <b/>
        <family val="2"/>
      </font>
    </dxf>
    <dxf>
      <font>
        <b/>
        <family val="2"/>
      </font>
      <fill>
        <patternFill patternType="solid">
          <fgColor rgb="FFD9D9D9"/>
          <bgColor rgb="FFD9D9D9"/>
        </patternFill>
      </fill>
    </dxf>
    <dxf>
      <fill>
        <patternFill patternType="solid">
          <fgColor rgb="FFD9D9D9"/>
          <bgColor rgb="FFD9D9D9"/>
        </patternFill>
      </fill>
    </dxf>
    <dxf>
      <font>
        <color rgb="FFFFFFFF"/>
        <family val="2"/>
      </font>
    </dxf>
    <dxf>
      <font>
        <color rgb="FFFFFFFF"/>
        <family val="2"/>
      </font>
    </dxf>
    <dxf>
      <fill>
        <patternFill patternType="solid">
          <fgColor rgb="FF808080"/>
          <bgColor rgb="FF808080"/>
        </patternFill>
      </fill>
    </dxf>
    <dxf>
      <fill>
        <patternFill patternType="solid">
          <fgColor rgb="FF808080"/>
          <bgColor rgb="FF808080"/>
        </patternFill>
      </fill>
    </dxf>
    <dxf>
      <fill>
        <patternFill>
          <bgColor theme="0" tint="-0.499984740745262"/>
        </patternFill>
      </fill>
    </dxf>
    <dxf>
      <font>
        <color rgb="FFFFFFFF"/>
        <family val="2"/>
      </font>
    </dxf>
    <dxf>
      <font>
        <color rgb="FFFFFFFF"/>
        <family val="2"/>
      </font>
    </dxf>
    <dxf>
      <font>
        <color rgb="FFFFFFFF"/>
        <family val="2"/>
      </font>
    </dxf>
    <dxf>
      <font>
        <color rgb="FFFFFFFF"/>
        <family val="2"/>
      </font>
    </dxf>
    <dxf>
      <font>
        <color rgb="FFFFFFFF"/>
        <family val="2"/>
      </font>
    </dxf>
    <dxf>
      <fill>
        <patternFill patternType="solid">
          <fgColor rgb="FF808080"/>
          <bgColor rgb="FF808080"/>
        </patternFill>
      </fill>
    </dxf>
    <dxf>
      <font>
        <color rgb="FFFFFFFF"/>
        <family val="2"/>
      </font>
    </dxf>
    <dxf>
      <fill>
        <patternFill>
          <bgColor theme="0" tint="-0.499984740745262"/>
        </patternFill>
      </fill>
    </dxf>
    <dxf>
      <font>
        <color theme="0"/>
      </font>
    </dxf>
    <dxf>
      <font>
        <color rgb="FFFFFFFF"/>
        <family val="2"/>
      </font>
    </dxf>
    <dxf>
      <fill>
        <patternFill patternType="solid">
          <fgColor rgb="FF808080"/>
          <bgColor rgb="FF808080"/>
        </patternFill>
      </fill>
    </dxf>
    <dxf>
      <font>
        <color rgb="FFFFFFFF"/>
        <family val="2"/>
      </font>
    </dxf>
    <dxf>
      <fill>
        <patternFill patternType="solid">
          <fgColor rgb="FF808080"/>
          <bgColor rgb="FF808080"/>
        </patternFill>
      </fill>
    </dxf>
    <dxf>
      <font>
        <color rgb="FFFFFFFF"/>
        <family val="2"/>
      </font>
    </dxf>
    <dxf>
      <fill>
        <patternFill>
          <bgColor theme="0" tint="-0.499984740745262"/>
        </patternFill>
      </fill>
    </dxf>
    <dxf>
      <font>
        <color theme="0"/>
      </font>
    </dxf>
    <dxf>
      <fill>
        <patternFill patternType="solid">
          <fgColor rgb="FF808080"/>
          <bgColor rgb="FF808080"/>
        </patternFill>
      </fill>
    </dxf>
    <dxf>
      <font>
        <color rgb="FFFFFFFF"/>
        <family val="2"/>
      </font>
      <fill>
        <patternFill patternType="none"/>
      </fill>
      <border>
        <right/>
        <top/>
        <bottom/>
      </border>
    </dxf>
    <dxf>
      <font>
        <color rgb="FFFFFFFF"/>
        <family val="2"/>
      </font>
      <fill>
        <patternFill patternType="none"/>
      </fill>
      <border>
        <right/>
        <top/>
        <bottom/>
      </border>
    </dxf>
    <dxf>
      <font>
        <color rgb="FFFFFFFF"/>
        <family val="2"/>
      </font>
      <fill>
        <patternFill patternType="none"/>
      </fill>
      <border>
        <right/>
        <top/>
        <bottom/>
      </border>
    </dxf>
    <dxf>
      <font>
        <color rgb="FFFFFFFF"/>
        <family val="2"/>
      </font>
      <fill>
        <patternFill patternType="none"/>
      </fill>
      <border>
        <right/>
        <top/>
        <bottom/>
      </border>
    </dxf>
    <dxf>
      <font>
        <color rgb="FFFFFFFF"/>
        <family val="2"/>
      </font>
    </dxf>
    <dxf>
      <font>
        <color rgb="FFFFFFFF"/>
        <family val="2"/>
      </font>
    </dxf>
  </dxfs>
  <tableStyles count="0" defaultTableStyle="TableStyleMedium2" defaultPivotStyle="PivotStyleLight16"/>
  <colors>
    <mruColors>
      <color rgb="FFFF00FF"/>
      <color rgb="FFF8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194630</xdr:colOff>
      <xdr:row>8</xdr:row>
      <xdr:rowOff>152567</xdr:rowOff>
    </xdr:from>
    <xdr:ext cx="1328129" cy="251972"/>
    <xdr:sp macro="" textlink="">
      <xdr:nvSpPr>
        <xdr:cNvPr id="8" name="TextBox 80">
          <a:extLst>
            <a:ext uri="{FF2B5EF4-FFF2-40B4-BE49-F238E27FC236}">
              <a16:creationId xmlns:a16="http://schemas.microsoft.com/office/drawing/2014/main" id="{62B3B30C-6D2E-4D17-B5CD-5917A1E791E6}"/>
            </a:ext>
          </a:extLst>
        </xdr:cNvPr>
        <xdr:cNvSpPr txBox="1"/>
      </xdr:nvSpPr>
      <xdr:spPr>
        <a:xfrm>
          <a:off x="5223830" y="1630847"/>
          <a:ext cx="1328129" cy="251972"/>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Excellent Quality</a:t>
          </a:r>
        </a:p>
      </xdr:txBody>
    </xdr:sp>
    <xdr:clientData/>
  </xdr:oneCellAnchor>
  <xdr:oneCellAnchor>
    <xdr:from>
      <xdr:col>7</xdr:col>
      <xdr:colOff>450543</xdr:colOff>
      <xdr:row>8</xdr:row>
      <xdr:rowOff>154250</xdr:rowOff>
    </xdr:from>
    <xdr:ext cx="1821649" cy="244437"/>
    <xdr:sp macro="" textlink="">
      <xdr:nvSpPr>
        <xdr:cNvPr id="7" name="TextBox 84">
          <a:extLst>
            <a:ext uri="{FF2B5EF4-FFF2-40B4-BE49-F238E27FC236}">
              <a16:creationId xmlns:a16="http://schemas.microsoft.com/office/drawing/2014/main" id="{BC92AB54-7233-453F-9A3D-84B085F86255}"/>
            </a:ext>
          </a:extLst>
        </xdr:cNvPr>
        <xdr:cNvSpPr txBox="1"/>
      </xdr:nvSpPr>
      <xdr:spPr>
        <a:xfrm>
          <a:off x="3468063" y="1632530"/>
          <a:ext cx="1821649" cy="244437"/>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Very Good Quality</a:t>
          </a:r>
        </a:p>
      </xdr:txBody>
    </xdr:sp>
    <xdr:clientData/>
  </xdr:oneCellAnchor>
  <xdr:oneCellAnchor>
    <xdr:from>
      <xdr:col>3</xdr:col>
      <xdr:colOff>505260</xdr:colOff>
      <xdr:row>8</xdr:row>
      <xdr:rowOff>148288</xdr:rowOff>
    </xdr:from>
    <xdr:ext cx="1752164" cy="242041"/>
    <xdr:sp macro="" textlink="">
      <xdr:nvSpPr>
        <xdr:cNvPr id="5" name="TextBox 85">
          <a:extLst>
            <a:ext uri="{FF2B5EF4-FFF2-40B4-BE49-F238E27FC236}">
              <a16:creationId xmlns:a16="http://schemas.microsoft.com/office/drawing/2014/main" id="{F516AA45-C6AB-44B6-A13A-461BEF1AC287}"/>
            </a:ext>
          </a:extLst>
        </xdr:cNvPr>
        <xdr:cNvSpPr txBox="1"/>
      </xdr:nvSpPr>
      <xdr:spPr>
        <a:xfrm>
          <a:off x="1122480" y="1626568"/>
          <a:ext cx="1752164" cy="242041"/>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Buds/Flowers</a:t>
          </a:r>
        </a:p>
      </xdr:txBody>
    </xdr:sp>
    <xdr:clientData/>
  </xdr:oneCellAnchor>
  <xdr:oneCellAnchor>
    <xdr:from>
      <xdr:col>6</xdr:col>
      <xdr:colOff>196513</xdr:colOff>
      <xdr:row>8</xdr:row>
      <xdr:rowOff>148617</xdr:rowOff>
    </xdr:from>
    <xdr:ext cx="1064325" cy="248223"/>
    <xdr:sp macro="" textlink="">
      <xdr:nvSpPr>
        <xdr:cNvPr id="6" name="TextBox 86">
          <a:extLst>
            <a:ext uri="{FF2B5EF4-FFF2-40B4-BE49-F238E27FC236}">
              <a16:creationId xmlns:a16="http://schemas.microsoft.com/office/drawing/2014/main" id="{637F6C34-6AA2-489E-ACC3-B40831850735}"/>
            </a:ext>
          </a:extLst>
        </xdr:cNvPr>
        <xdr:cNvSpPr txBox="1"/>
      </xdr:nvSpPr>
      <xdr:spPr>
        <a:xfrm>
          <a:off x="2474893" y="1626897"/>
          <a:ext cx="1064325" cy="248223"/>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UK Native</a:t>
          </a:r>
        </a:p>
      </xdr:txBody>
    </xdr:sp>
    <xdr:clientData/>
  </xdr:oneCellAnchor>
  <xdr:oneCellAnchor>
    <xdr:from>
      <xdr:col>5</xdr:col>
      <xdr:colOff>455910</xdr:colOff>
      <xdr:row>9</xdr:row>
      <xdr:rowOff>17126</xdr:rowOff>
    </xdr:from>
    <xdr:ext cx="263429" cy="169346"/>
    <xdr:pic>
      <xdr:nvPicPr>
        <xdr:cNvPr id="10" name="Picture 40" descr="UK2.jpg">
          <a:extLst>
            <a:ext uri="{FF2B5EF4-FFF2-40B4-BE49-F238E27FC236}">
              <a16:creationId xmlns:a16="http://schemas.microsoft.com/office/drawing/2014/main" id="{7D9C1168-70A2-4F50-91DE-4389F7C8F1BD}"/>
            </a:ext>
          </a:extLst>
        </xdr:cNvPr>
        <xdr:cNvPicPr>
          <a:picLocks noChangeAspect="1"/>
        </xdr:cNvPicPr>
      </xdr:nvPicPr>
      <xdr:blipFill>
        <a:blip xmlns:r="http://schemas.openxmlformats.org/officeDocument/2006/relationships" r:embed="rId1"/>
        <a:srcRect/>
        <a:stretch>
          <a:fillRect/>
        </a:stretch>
      </xdr:blipFill>
      <xdr:spPr>
        <a:xfrm>
          <a:off x="2277090" y="1685906"/>
          <a:ext cx="263429" cy="169346"/>
        </a:xfrm>
        <a:prstGeom prst="rect">
          <a:avLst/>
        </a:prstGeom>
        <a:noFill/>
        <a:ln cap="flat">
          <a:noFill/>
        </a:ln>
      </xdr:spPr>
    </xdr:pic>
    <xdr:clientData/>
  </xdr:oneCellAnchor>
  <xdr:oneCellAnchor>
    <xdr:from>
      <xdr:col>7</xdr:col>
      <xdr:colOff>339480</xdr:colOff>
      <xdr:row>9</xdr:row>
      <xdr:rowOff>18470</xdr:rowOff>
    </xdr:from>
    <xdr:ext cx="182322" cy="155466"/>
    <xdr:sp macro="" textlink="">
      <xdr:nvSpPr>
        <xdr:cNvPr id="11" name="5-Point Star 23">
          <a:extLst>
            <a:ext uri="{FF2B5EF4-FFF2-40B4-BE49-F238E27FC236}">
              <a16:creationId xmlns:a16="http://schemas.microsoft.com/office/drawing/2014/main" id="{FF400FEC-DB5C-4304-933E-7466A7C6211A}"/>
            </a:ext>
          </a:extLst>
        </xdr:cNvPr>
        <xdr:cNvSpPr/>
      </xdr:nvSpPr>
      <xdr:spPr>
        <a:xfrm>
          <a:off x="3357000" y="1687250"/>
          <a:ext cx="182322" cy="155466"/>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270"/>
            <a:gd name="f13" fmla="+- 0 0 -180"/>
            <a:gd name="f14" fmla="+- 0 0 -90"/>
            <a:gd name="f15" fmla="abs f4"/>
            <a:gd name="f16" fmla="abs f5"/>
            <a:gd name="f17" fmla="abs f6"/>
            <a:gd name="f18" fmla="val f7"/>
            <a:gd name="f19" fmla="val f11"/>
            <a:gd name="f20" fmla="+- 1080000 f2 0"/>
            <a:gd name="f21" fmla="+- 18360000 f2 0"/>
            <a:gd name="f22" fmla="+- 20520000 f2 0"/>
            <a:gd name="f23" fmla="+- 3240000 f2 0"/>
            <a:gd name="f24" fmla="*/ f12 f1 1"/>
            <a:gd name="f25" fmla="*/ f13 f1 1"/>
            <a:gd name="f26" fmla="*/ f14 f1 1"/>
            <a:gd name="f27" fmla="?: f15 f4 1"/>
            <a:gd name="f28" fmla="?: f16 f5 1"/>
            <a:gd name="f29" fmla="?: f17 f6 1"/>
            <a:gd name="f30" fmla="*/ f20 f8 1"/>
            <a:gd name="f31" fmla="*/ f21 f8 1"/>
            <a:gd name="f32" fmla="*/ f22 f8 1"/>
            <a:gd name="f33" fmla="*/ f23 f8 1"/>
            <a:gd name="f34" fmla="*/ f24 1 f3"/>
            <a:gd name="f35" fmla="*/ f25 1 f3"/>
            <a:gd name="f36" fmla="*/ f26 1 f3"/>
            <a:gd name="f37" fmla="*/ f27 1 21600"/>
            <a:gd name="f38" fmla="*/ f28 1 21600"/>
            <a:gd name="f39" fmla="*/ 21600 f27 1"/>
            <a:gd name="f40" fmla="*/ 21600 f28 1"/>
            <a:gd name="f41" fmla="*/ f30 1 f1"/>
            <a:gd name="f42" fmla="*/ f31 1 f1"/>
            <a:gd name="f43" fmla="*/ f32 1 f1"/>
            <a:gd name="f44" fmla="*/ f33 1 f1"/>
            <a:gd name="f45" fmla="+- f34 0 f2"/>
            <a:gd name="f46" fmla="+- f35 0 f2"/>
            <a:gd name="f47" fmla="+- f36 0 f2"/>
            <a:gd name="f48" fmla="min f38 f37"/>
            <a:gd name="f49" fmla="*/ f39 1 f29"/>
            <a:gd name="f50" fmla="*/ f40 1 f29"/>
            <a:gd name="f51" fmla="+- 0 0 f41"/>
            <a:gd name="f52" fmla="+- 0 0 f42"/>
            <a:gd name="f53" fmla="+- 0 0 f43"/>
            <a:gd name="f54" fmla="+- 0 0 f44"/>
            <a:gd name="f55" fmla="val f49"/>
            <a:gd name="f56" fmla="val f50"/>
            <a:gd name="f57" fmla="+- 0 0 f51"/>
            <a:gd name="f58" fmla="+- 0 0 f52"/>
            <a:gd name="f59" fmla="+- 0 0 f53"/>
            <a:gd name="f60" fmla="+- 0 0 f54"/>
            <a:gd name="f61" fmla="*/ f18 f48 1"/>
            <a:gd name="f62" fmla="+- f56 0 f18"/>
            <a:gd name="f63" fmla="+- f55 0 f18"/>
            <a:gd name="f64" fmla="*/ f57 f1 1"/>
            <a:gd name="f65" fmla="*/ f58 f1 1"/>
            <a:gd name="f66" fmla="*/ f59 f1 1"/>
            <a:gd name="f67" fmla="*/ f60 f1 1"/>
            <a:gd name="f68" fmla="*/ f62 1 2"/>
            <a:gd name="f69" fmla="*/ f63 1 2"/>
            <a:gd name="f70" fmla="*/ f64 1 f8"/>
            <a:gd name="f71" fmla="*/ f65 1 f8"/>
            <a:gd name="f72" fmla="*/ f66 1 f8"/>
            <a:gd name="f73" fmla="*/ f67 1 f8"/>
            <a:gd name="f74" fmla="+- f18 f68 0"/>
            <a:gd name="f75" fmla="+- f18 f69 0"/>
            <a:gd name="f76" fmla="*/ f69 f9 1"/>
            <a:gd name="f77" fmla="*/ f68 f10 1"/>
            <a:gd name="f78" fmla="+- f70 0 f2"/>
            <a:gd name="f79" fmla="+- f71 0 f2"/>
            <a:gd name="f80" fmla="+- f72 0 f2"/>
            <a:gd name="f81" fmla="+- f73 0 f2"/>
            <a:gd name="f82" fmla="*/ f76 1 100000"/>
            <a:gd name="f83" fmla="*/ f77 1 100000"/>
            <a:gd name="f84" fmla="*/ f74 f10 1"/>
            <a:gd name="f85" fmla="cos 1 f78"/>
            <a:gd name="f86" fmla="cos 1 f79"/>
            <a:gd name="f87" fmla="sin 1 f78"/>
            <a:gd name="f88" fmla="sin 1 f79"/>
            <a:gd name="f89" fmla="cos 1 f80"/>
            <a:gd name="f90" fmla="cos 1 f81"/>
            <a:gd name="f91" fmla="sin 1 f81"/>
            <a:gd name="f92" fmla="sin 1 f80"/>
            <a:gd name="f93" fmla="*/ f75 f48 1"/>
            <a:gd name="f94" fmla="*/ f84 1 100000"/>
            <a:gd name="f95" fmla="+- 0 0 f85"/>
            <a:gd name="f96" fmla="+- 0 0 f86"/>
            <a:gd name="f97" fmla="+- 0 0 f87"/>
            <a:gd name="f98" fmla="+- 0 0 f88"/>
            <a:gd name="f99" fmla="*/ f82 f19 1"/>
            <a:gd name="f100" fmla="*/ f83 f19 1"/>
            <a:gd name="f101" fmla="+- 0 0 f89"/>
            <a:gd name="f102" fmla="+- 0 0 f90"/>
            <a:gd name="f103" fmla="+- 0 0 f91"/>
            <a:gd name="f104" fmla="+- 0 0 f92"/>
            <a:gd name="f105" fmla="+- 0 0 f95"/>
            <a:gd name="f106" fmla="+- 0 0 f96"/>
            <a:gd name="f107" fmla="+- 0 0 f97"/>
            <a:gd name="f108" fmla="+- 0 0 f98"/>
            <a:gd name="f109" fmla="*/ f99 1 50000"/>
            <a:gd name="f110" fmla="*/ f100 1 50000"/>
            <a:gd name="f111" fmla="+- 0 0 f101"/>
            <a:gd name="f112" fmla="+- 0 0 f102"/>
            <a:gd name="f113" fmla="+- 0 0 f103"/>
            <a:gd name="f114" fmla="+- 0 0 f104"/>
            <a:gd name="f115" fmla="*/ f105 f82 1"/>
            <a:gd name="f116" fmla="*/ f106 f82 1"/>
            <a:gd name="f117" fmla="*/ f107 f83 1"/>
            <a:gd name="f118" fmla="*/ f108 f83 1"/>
            <a:gd name="f119" fmla="*/ f111 f109 1"/>
            <a:gd name="f120" fmla="*/ f112 f109 1"/>
            <a:gd name="f121" fmla="*/ f113 f110 1"/>
            <a:gd name="f122" fmla="*/ f114 f110 1"/>
            <a:gd name="f123" fmla="+- f94 f110 0"/>
            <a:gd name="f124" fmla="+- f75 0 f115"/>
            <a:gd name="f125" fmla="+- f75 0 f116"/>
            <a:gd name="f126" fmla="+- f75 f116 0"/>
            <a:gd name="f127" fmla="+- f75 f115 0"/>
            <a:gd name="f128" fmla="+- f94 0 f117"/>
            <a:gd name="f129" fmla="+- f94 0 f118"/>
            <a:gd name="f130" fmla="+- f75 0 f119"/>
            <a:gd name="f131" fmla="+- f75 0 f120"/>
            <a:gd name="f132" fmla="+- f75 f120 0"/>
            <a:gd name="f133" fmla="+- f75 f119 0"/>
            <a:gd name="f134" fmla="+- f94 0 f121"/>
            <a:gd name="f135" fmla="+- f94 0 f122"/>
            <a:gd name="f136" fmla="*/ f123 f48 1"/>
            <a:gd name="f137" fmla="*/ f130 f48 1"/>
            <a:gd name="f138" fmla="*/ f134 f48 1"/>
            <a:gd name="f139" fmla="*/ f133 f48 1"/>
            <a:gd name="f140" fmla="*/ f124 f48 1"/>
            <a:gd name="f141" fmla="*/ f128 f48 1"/>
            <a:gd name="f142" fmla="*/ f131 f48 1"/>
            <a:gd name="f143" fmla="*/ f132 f48 1"/>
            <a:gd name="f144" fmla="*/ f127 f48 1"/>
            <a:gd name="f145" fmla="*/ f135 f48 1"/>
            <a:gd name="f146" fmla="*/ f126 f48 1"/>
            <a:gd name="f147" fmla="*/ f129 f48 1"/>
            <a:gd name="f148" fmla="*/ f125 f48 1"/>
          </a:gdLst>
          <a:ahLst/>
          <a:cxnLst>
            <a:cxn ang="3cd4">
              <a:pos x="hc" y="t"/>
            </a:cxn>
            <a:cxn ang="0">
              <a:pos x="r" y="vc"/>
            </a:cxn>
            <a:cxn ang="cd4">
              <a:pos x="hc" y="b"/>
            </a:cxn>
            <a:cxn ang="cd2">
              <a:pos x="l" y="vc"/>
            </a:cxn>
            <a:cxn ang="f45">
              <a:pos x="f140" y="f141"/>
            </a:cxn>
            <a:cxn ang="f46">
              <a:pos x="f148" y="f147"/>
            </a:cxn>
            <a:cxn ang="f46">
              <a:pos x="f146" y="f147"/>
            </a:cxn>
            <a:cxn ang="f47">
              <a:pos x="f144" y="f141"/>
            </a:cxn>
          </a:cxnLst>
          <a:rect l="f137" t="f138" r="f139" b="f136"/>
          <a:pathLst>
            <a:path>
              <a:moveTo>
                <a:pt x="f140" y="f141"/>
              </a:moveTo>
              <a:lnTo>
                <a:pt x="f142" y="f138"/>
              </a:lnTo>
              <a:lnTo>
                <a:pt x="f93" y="f61"/>
              </a:lnTo>
              <a:lnTo>
                <a:pt x="f143" y="f138"/>
              </a:lnTo>
              <a:lnTo>
                <a:pt x="f144" y="f141"/>
              </a:lnTo>
              <a:lnTo>
                <a:pt x="f139" y="f145"/>
              </a:lnTo>
              <a:lnTo>
                <a:pt x="f146" y="f147"/>
              </a:lnTo>
              <a:lnTo>
                <a:pt x="f93" y="f136"/>
              </a:lnTo>
              <a:lnTo>
                <a:pt x="f148" y="f147"/>
              </a:lnTo>
              <a:lnTo>
                <a:pt x="f137" y="f145"/>
              </a:lnTo>
              <a:close/>
            </a:path>
          </a:pathLst>
        </a:custGeom>
        <a:solidFill>
          <a:srgbClr val="FFFF00"/>
        </a:solidFill>
        <a:ln w="9528" cap="flat">
          <a:solidFill>
            <a:srgbClr val="000000"/>
          </a:solidFill>
          <a:prstDash val="solid"/>
          <a:round/>
        </a:ln>
      </xdr:spPr>
      <xdr:txBody>
        <a:bodyPr vert="horz" wrap="square" lIns="18288"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3</xdr:col>
      <xdr:colOff>354928</xdr:colOff>
      <xdr:row>9</xdr:row>
      <xdr:rowOff>7641</xdr:rowOff>
    </xdr:from>
    <xdr:ext cx="188348" cy="162315"/>
    <xdr:pic>
      <xdr:nvPicPr>
        <xdr:cNvPr id="9" name="Picture 1">
          <a:extLst>
            <a:ext uri="{FF2B5EF4-FFF2-40B4-BE49-F238E27FC236}">
              <a16:creationId xmlns:a16="http://schemas.microsoft.com/office/drawing/2014/main" id="{1EEADECA-8894-49DD-BF02-2100AD5F1D4D}"/>
            </a:ext>
          </a:extLst>
        </xdr:cNvPr>
        <xdr:cNvPicPr>
          <a:picLocks noChangeAspect="1"/>
        </xdr:cNvPicPr>
      </xdr:nvPicPr>
      <xdr:blipFill>
        <a:blip xmlns:r="http://schemas.openxmlformats.org/officeDocument/2006/relationships" r:embed="rId2"/>
        <a:srcRect/>
        <a:stretch>
          <a:fillRect/>
        </a:stretch>
      </xdr:blipFill>
      <xdr:spPr>
        <a:xfrm>
          <a:off x="943746" y="1713482"/>
          <a:ext cx="188348" cy="162315"/>
        </a:xfrm>
        <a:prstGeom prst="rect">
          <a:avLst/>
        </a:prstGeom>
        <a:noFill/>
        <a:ln cap="flat">
          <a:noFill/>
        </a:ln>
      </xdr:spPr>
    </xdr:pic>
    <xdr:clientData/>
  </xdr:oneCellAnchor>
  <xdr:oneCellAnchor>
    <xdr:from>
      <xdr:col>3</xdr:col>
      <xdr:colOff>723765</xdr:colOff>
      <xdr:row>4</xdr:row>
      <xdr:rowOff>8284</xdr:rowOff>
    </xdr:from>
    <xdr:ext cx="2412754" cy="249210"/>
    <xdr:sp macro="" textlink="">
      <xdr:nvSpPr>
        <xdr:cNvPr id="4" name="TextBox 93">
          <a:extLst>
            <a:ext uri="{FF2B5EF4-FFF2-40B4-BE49-F238E27FC236}">
              <a16:creationId xmlns:a16="http://schemas.microsoft.com/office/drawing/2014/main" id="{AF4BBBA1-A988-4B2E-B2EF-45F2140AE3F7}"/>
            </a:ext>
          </a:extLst>
        </xdr:cNvPr>
        <xdr:cNvSpPr txBox="1"/>
      </xdr:nvSpPr>
      <xdr:spPr>
        <a:xfrm>
          <a:off x="1340985" y="793144"/>
          <a:ext cx="2412754" cy="249210"/>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400" b="0" i="0" u="none" strike="noStrike" kern="0" cap="none" spc="0" baseline="0">
            <a:solidFill>
              <a:srgbClr val="545454"/>
            </a:solidFill>
            <a:uFillTx/>
            <a:latin typeface="Calibri"/>
          </a:endParaRPr>
        </a:p>
      </xdr:txBody>
    </xdr:sp>
    <xdr:clientData/>
  </xdr:oneCellAnchor>
  <xdr:oneCellAnchor>
    <xdr:from>
      <xdr:col>7</xdr:col>
      <xdr:colOff>1827510</xdr:colOff>
      <xdr:row>9</xdr:row>
      <xdr:rowOff>19284</xdr:rowOff>
    </xdr:from>
    <xdr:ext cx="187159" cy="138321"/>
    <xdr:sp macro="" textlink="">
      <xdr:nvSpPr>
        <xdr:cNvPr id="12" name="5-Point Star 23">
          <a:extLst>
            <a:ext uri="{FF2B5EF4-FFF2-40B4-BE49-F238E27FC236}">
              <a16:creationId xmlns:a16="http://schemas.microsoft.com/office/drawing/2014/main" id="{CBAACC54-5DC1-4064-8669-7561676D9B64}"/>
            </a:ext>
          </a:extLst>
        </xdr:cNvPr>
        <xdr:cNvSpPr/>
      </xdr:nvSpPr>
      <xdr:spPr>
        <a:xfrm>
          <a:off x="4845030" y="1688064"/>
          <a:ext cx="187159" cy="138321"/>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270"/>
            <a:gd name="f13" fmla="+- 0 0 -180"/>
            <a:gd name="f14" fmla="+- 0 0 -90"/>
            <a:gd name="f15" fmla="abs f4"/>
            <a:gd name="f16" fmla="abs f5"/>
            <a:gd name="f17" fmla="abs f6"/>
            <a:gd name="f18" fmla="val f7"/>
            <a:gd name="f19" fmla="val f11"/>
            <a:gd name="f20" fmla="+- 1080000 f2 0"/>
            <a:gd name="f21" fmla="+- 18360000 f2 0"/>
            <a:gd name="f22" fmla="+- 20520000 f2 0"/>
            <a:gd name="f23" fmla="+- 3240000 f2 0"/>
            <a:gd name="f24" fmla="*/ f12 f1 1"/>
            <a:gd name="f25" fmla="*/ f13 f1 1"/>
            <a:gd name="f26" fmla="*/ f14 f1 1"/>
            <a:gd name="f27" fmla="?: f15 f4 1"/>
            <a:gd name="f28" fmla="?: f16 f5 1"/>
            <a:gd name="f29" fmla="?: f17 f6 1"/>
            <a:gd name="f30" fmla="*/ f20 f8 1"/>
            <a:gd name="f31" fmla="*/ f21 f8 1"/>
            <a:gd name="f32" fmla="*/ f22 f8 1"/>
            <a:gd name="f33" fmla="*/ f23 f8 1"/>
            <a:gd name="f34" fmla="*/ f24 1 f3"/>
            <a:gd name="f35" fmla="*/ f25 1 f3"/>
            <a:gd name="f36" fmla="*/ f26 1 f3"/>
            <a:gd name="f37" fmla="*/ f27 1 21600"/>
            <a:gd name="f38" fmla="*/ f28 1 21600"/>
            <a:gd name="f39" fmla="*/ 21600 f27 1"/>
            <a:gd name="f40" fmla="*/ 21600 f28 1"/>
            <a:gd name="f41" fmla="*/ f30 1 f1"/>
            <a:gd name="f42" fmla="*/ f31 1 f1"/>
            <a:gd name="f43" fmla="*/ f32 1 f1"/>
            <a:gd name="f44" fmla="*/ f33 1 f1"/>
            <a:gd name="f45" fmla="+- f34 0 f2"/>
            <a:gd name="f46" fmla="+- f35 0 f2"/>
            <a:gd name="f47" fmla="+- f36 0 f2"/>
            <a:gd name="f48" fmla="min f38 f37"/>
            <a:gd name="f49" fmla="*/ f39 1 f29"/>
            <a:gd name="f50" fmla="*/ f40 1 f29"/>
            <a:gd name="f51" fmla="+- 0 0 f41"/>
            <a:gd name="f52" fmla="+- 0 0 f42"/>
            <a:gd name="f53" fmla="+- 0 0 f43"/>
            <a:gd name="f54" fmla="+- 0 0 f44"/>
            <a:gd name="f55" fmla="val f49"/>
            <a:gd name="f56" fmla="val f50"/>
            <a:gd name="f57" fmla="+- 0 0 f51"/>
            <a:gd name="f58" fmla="+- 0 0 f52"/>
            <a:gd name="f59" fmla="+- 0 0 f53"/>
            <a:gd name="f60" fmla="+- 0 0 f54"/>
            <a:gd name="f61" fmla="*/ f18 f48 1"/>
            <a:gd name="f62" fmla="+- f56 0 f18"/>
            <a:gd name="f63" fmla="+- f55 0 f18"/>
            <a:gd name="f64" fmla="*/ f57 f1 1"/>
            <a:gd name="f65" fmla="*/ f58 f1 1"/>
            <a:gd name="f66" fmla="*/ f59 f1 1"/>
            <a:gd name="f67" fmla="*/ f60 f1 1"/>
            <a:gd name="f68" fmla="*/ f62 1 2"/>
            <a:gd name="f69" fmla="*/ f63 1 2"/>
            <a:gd name="f70" fmla="*/ f64 1 f8"/>
            <a:gd name="f71" fmla="*/ f65 1 f8"/>
            <a:gd name="f72" fmla="*/ f66 1 f8"/>
            <a:gd name="f73" fmla="*/ f67 1 f8"/>
            <a:gd name="f74" fmla="+- f18 f68 0"/>
            <a:gd name="f75" fmla="+- f18 f69 0"/>
            <a:gd name="f76" fmla="*/ f69 f9 1"/>
            <a:gd name="f77" fmla="*/ f68 f10 1"/>
            <a:gd name="f78" fmla="+- f70 0 f2"/>
            <a:gd name="f79" fmla="+- f71 0 f2"/>
            <a:gd name="f80" fmla="+- f72 0 f2"/>
            <a:gd name="f81" fmla="+- f73 0 f2"/>
            <a:gd name="f82" fmla="*/ f76 1 100000"/>
            <a:gd name="f83" fmla="*/ f77 1 100000"/>
            <a:gd name="f84" fmla="*/ f74 f10 1"/>
            <a:gd name="f85" fmla="cos 1 f78"/>
            <a:gd name="f86" fmla="cos 1 f79"/>
            <a:gd name="f87" fmla="sin 1 f78"/>
            <a:gd name="f88" fmla="sin 1 f79"/>
            <a:gd name="f89" fmla="cos 1 f80"/>
            <a:gd name="f90" fmla="cos 1 f81"/>
            <a:gd name="f91" fmla="sin 1 f81"/>
            <a:gd name="f92" fmla="sin 1 f80"/>
            <a:gd name="f93" fmla="*/ f75 f48 1"/>
            <a:gd name="f94" fmla="*/ f84 1 100000"/>
            <a:gd name="f95" fmla="+- 0 0 f85"/>
            <a:gd name="f96" fmla="+- 0 0 f86"/>
            <a:gd name="f97" fmla="+- 0 0 f87"/>
            <a:gd name="f98" fmla="+- 0 0 f88"/>
            <a:gd name="f99" fmla="*/ f82 f19 1"/>
            <a:gd name="f100" fmla="*/ f83 f19 1"/>
            <a:gd name="f101" fmla="+- 0 0 f89"/>
            <a:gd name="f102" fmla="+- 0 0 f90"/>
            <a:gd name="f103" fmla="+- 0 0 f91"/>
            <a:gd name="f104" fmla="+- 0 0 f92"/>
            <a:gd name="f105" fmla="+- 0 0 f95"/>
            <a:gd name="f106" fmla="+- 0 0 f96"/>
            <a:gd name="f107" fmla="+- 0 0 f97"/>
            <a:gd name="f108" fmla="+- 0 0 f98"/>
            <a:gd name="f109" fmla="*/ f99 1 50000"/>
            <a:gd name="f110" fmla="*/ f100 1 50000"/>
            <a:gd name="f111" fmla="+- 0 0 f101"/>
            <a:gd name="f112" fmla="+- 0 0 f102"/>
            <a:gd name="f113" fmla="+- 0 0 f103"/>
            <a:gd name="f114" fmla="+- 0 0 f104"/>
            <a:gd name="f115" fmla="*/ f105 f82 1"/>
            <a:gd name="f116" fmla="*/ f106 f82 1"/>
            <a:gd name="f117" fmla="*/ f107 f83 1"/>
            <a:gd name="f118" fmla="*/ f108 f83 1"/>
            <a:gd name="f119" fmla="*/ f111 f109 1"/>
            <a:gd name="f120" fmla="*/ f112 f109 1"/>
            <a:gd name="f121" fmla="*/ f113 f110 1"/>
            <a:gd name="f122" fmla="*/ f114 f110 1"/>
            <a:gd name="f123" fmla="+- f94 f110 0"/>
            <a:gd name="f124" fmla="+- f75 0 f115"/>
            <a:gd name="f125" fmla="+- f75 0 f116"/>
            <a:gd name="f126" fmla="+- f75 f116 0"/>
            <a:gd name="f127" fmla="+- f75 f115 0"/>
            <a:gd name="f128" fmla="+- f94 0 f117"/>
            <a:gd name="f129" fmla="+- f94 0 f118"/>
            <a:gd name="f130" fmla="+- f75 0 f119"/>
            <a:gd name="f131" fmla="+- f75 0 f120"/>
            <a:gd name="f132" fmla="+- f75 f120 0"/>
            <a:gd name="f133" fmla="+- f75 f119 0"/>
            <a:gd name="f134" fmla="+- f94 0 f121"/>
            <a:gd name="f135" fmla="+- f94 0 f122"/>
            <a:gd name="f136" fmla="*/ f123 f48 1"/>
            <a:gd name="f137" fmla="*/ f130 f48 1"/>
            <a:gd name="f138" fmla="*/ f134 f48 1"/>
            <a:gd name="f139" fmla="*/ f133 f48 1"/>
            <a:gd name="f140" fmla="*/ f124 f48 1"/>
            <a:gd name="f141" fmla="*/ f128 f48 1"/>
            <a:gd name="f142" fmla="*/ f131 f48 1"/>
            <a:gd name="f143" fmla="*/ f132 f48 1"/>
            <a:gd name="f144" fmla="*/ f127 f48 1"/>
            <a:gd name="f145" fmla="*/ f135 f48 1"/>
            <a:gd name="f146" fmla="*/ f126 f48 1"/>
            <a:gd name="f147" fmla="*/ f129 f48 1"/>
            <a:gd name="f148" fmla="*/ f125 f48 1"/>
          </a:gdLst>
          <a:ahLst/>
          <a:cxnLst>
            <a:cxn ang="3cd4">
              <a:pos x="hc" y="t"/>
            </a:cxn>
            <a:cxn ang="0">
              <a:pos x="r" y="vc"/>
            </a:cxn>
            <a:cxn ang="cd4">
              <a:pos x="hc" y="b"/>
            </a:cxn>
            <a:cxn ang="cd2">
              <a:pos x="l" y="vc"/>
            </a:cxn>
            <a:cxn ang="f45">
              <a:pos x="f140" y="f141"/>
            </a:cxn>
            <a:cxn ang="f46">
              <a:pos x="f148" y="f147"/>
            </a:cxn>
            <a:cxn ang="f46">
              <a:pos x="f146" y="f147"/>
            </a:cxn>
            <a:cxn ang="f47">
              <a:pos x="f144" y="f141"/>
            </a:cxn>
          </a:cxnLst>
          <a:rect l="f137" t="f138" r="f139" b="f136"/>
          <a:pathLst>
            <a:path>
              <a:moveTo>
                <a:pt x="f140" y="f141"/>
              </a:moveTo>
              <a:lnTo>
                <a:pt x="f142" y="f138"/>
              </a:lnTo>
              <a:lnTo>
                <a:pt x="f93" y="f61"/>
              </a:lnTo>
              <a:lnTo>
                <a:pt x="f143" y="f138"/>
              </a:lnTo>
              <a:lnTo>
                <a:pt x="f144" y="f141"/>
              </a:lnTo>
              <a:lnTo>
                <a:pt x="f139" y="f145"/>
              </a:lnTo>
              <a:lnTo>
                <a:pt x="f146" y="f147"/>
              </a:lnTo>
              <a:lnTo>
                <a:pt x="f93" y="f136"/>
              </a:lnTo>
              <a:lnTo>
                <a:pt x="f148" y="f147"/>
              </a:lnTo>
              <a:lnTo>
                <a:pt x="f137" y="f145"/>
              </a:lnTo>
              <a:close/>
            </a:path>
          </a:pathLst>
        </a:custGeom>
        <a:solidFill>
          <a:srgbClr val="FFFF00"/>
        </a:solidFill>
        <a:ln w="9528" cap="flat">
          <a:solidFill>
            <a:srgbClr val="000000"/>
          </a:solidFill>
          <a:prstDash val="solid"/>
          <a:round/>
        </a:ln>
      </xdr:spPr>
      <xdr:txBody>
        <a:bodyPr vert="horz" wrap="square" lIns="18288"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8</xdr:col>
      <xdr:colOff>31875</xdr:colOff>
      <xdr:row>9</xdr:row>
      <xdr:rowOff>19284</xdr:rowOff>
    </xdr:from>
    <xdr:ext cx="175189" cy="138321"/>
    <xdr:sp macro="" textlink="">
      <xdr:nvSpPr>
        <xdr:cNvPr id="13" name="5-Point Star 23">
          <a:extLst>
            <a:ext uri="{FF2B5EF4-FFF2-40B4-BE49-F238E27FC236}">
              <a16:creationId xmlns:a16="http://schemas.microsoft.com/office/drawing/2014/main" id="{1F348E47-FD0C-4841-856D-F78F76EDFE16}"/>
            </a:ext>
          </a:extLst>
        </xdr:cNvPr>
        <xdr:cNvSpPr/>
      </xdr:nvSpPr>
      <xdr:spPr>
        <a:xfrm>
          <a:off x="5061075" y="1688064"/>
          <a:ext cx="175189" cy="138321"/>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270"/>
            <a:gd name="f13" fmla="+- 0 0 -180"/>
            <a:gd name="f14" fmla="+- 0 0 -90"/>
            <a:gd name="f15" fmla="abs f4"/>
            <a:gd name="f16" fmla="abs f5"/>
            <a:gd name="f17" fmla="abs f6"/>
            <a:gd name="f18" fmla="val f7"/>
            <a:gd name="f19" fmla="val f11"/>
            <a:gd name="f20" fmla="+- 1080000 f2 0"/>
            <a:gd name="f21" fmla="+- 18360000 f2 0"/>
            <a:gd name="f22" fmla="+- 20520000 f2 0"/>
            <a:gd name="f23" fmla="+- 3240000 f2 0"/>
            <a:gd name="f24" fmla="*/ f12 f1 1"/>
            <a:gd name="f25" fmla="*/ f13 f1 1"/>
            <a:gd name="f26" fmla="*/ f14 f1 1"/>
            <a:gd name="f27" fmla="?: f15 f4 1"/>
            <a:gd name="f28" fmla="?: f16 f5 1"/>
            <a:gd name="f29" fmla="?: f17 f6 1"/>
            <a:gd name="f30" fmla="*/ f20 f8 1"/>
            <a:gd name="f31" fmla="*/ f21 f8 1"/>
            <a:gd name="f32" fmla="*/ f22 f8 1"/>
            <a:gd name="f33" fmla="*/ f23 f8 1"/>
            <a:gd name="f34" fmla="*/ f24 1 f3"/>
            <a:gd name="f35" fmla="*/ f25 1 f3"/>
            <a:gd name="f36" fmla="*/ f26 1 f3"/>
            <a:gd name="f37" fmla="*/ f27 1 21600"/>
            <a:gd name="f38" fmla="*/ f28 1 21600"/>
            <a:gd name="f39" fmla="*/ 21600 f27 1"/>
            <a:gd name="f40" fmla="*/ 21600 f28 1"/>
            <a:gd name="f41" fmla="*/ f30 1 f1"/>
            <a:gd name="f42" fmla="*/ f31 1 f1"/>
            <a:gd name="f43" fmla="*/ f32 1 f1"/>
            <a:gd name="f44" fmla="*/ f33 1 f1"/>
            <a:gd name="f45" fmla="+- f34 0 f2"/>
            <a:gd name="f46" fmla="+- f35 0 f2"/>
            <a:gd name="f47" fmla="+- f36 0 f2"/>
            <a:gd name="f48" fmla="min f38 f37"/>
            <a:gd name="f49" fmla="*/ f39 1 f29"/>
            <a:gd name="f50" fmla="*/ f40 1 f29"/>
            <a:gd name="f51" fmla="+- 0 0 f41"/>
            <a:gd name="f52" fmla="+- 0 0 f42"/>
            <a:gd name="f53" fmla="+- 0 0 f43"/>
            <a:gd name="f54" fmla="+- 0 0 f44"/>
            <a:gd name="f55" fmla="val f49"/>
            <a:gd name="f56" fmla="val f50"/>
            <a:gd name="f57" fmla="+- 0 0 f51"/>
            <a:gd name="f58" fmla="+- 0 0 f52"/>
            <a:gd name="f59" fmla="+- 0 0 f53"/>
            <a:gd name="f60" fmla="+- 0 0 f54"/>
            <a:gd name="f61" fmla="*/ f18 f48 1"/>
            <a:gd name="f62" fmla="+- f56 0 f18"/>
            <a:gd name="f63" fmla="+- f55 0 f18"/>
            <a:gd name="f64" fmla="*/ f57 f1 1"/>
            <a:gd name="f65" fmla="*/ f58 f1 1"/>
            <a:gd name="f66" fmla="*/ f59 f1 1"/>
            <a:gd name="f67" fmla="*/ f60 f1 1"/>
            <a:gd name="f68" fmla="*/ f62 1 2"/>
            <a:gd name="f69" fmla="*/ f63 1 2"/>
            <a:gd name="f70" fmla="*/ f64 1 f8"/>
            <a:gd name="f71" fmla="*/ f65 1 f8"/>
            <a:gd name="f72" fmla="*/ f66 1 f8"/>
            <a:gd name="f73" fmla="*/ f67 1 f8"/>
            <a:gd name="f74" fmla="+- f18 f68 0"/>
            <a:gd name="f75" fmla="+- f18 f69 0"/>
            <a:gd name="f76" fmla="*/ f69 f9 1"/>
            <a:gd name="f77" fmla="*/ f68 f10 1"/>
            <a:gd name="f78" fmla="+- f70 0 f2"/>
            <a:gd name="f79" fmla="+- f71 0 f2"/>
            <a:gd name="f80" fmla="+- f72 0 f2"/>
            <a:gd name="f81" fmla="+- f73 0 f2"/>
            <a:gd name="f82" fmla="*/ f76 1 100000"/>
            <a:gd name="f83" fmla="*/ f77 1 100000"/>
            <a:gd name="f84" fmla="*/ f74 f10 1"/>
            <a:gd name="f85" fmla="cos 1 f78"/>
            <a:gd name="f86" fmla="cos 1 f79"/>
            <a:gd name="f87" fmla="sin 1 f78"/>
            <a:gd name="f88" fmla="sin 1 f79"/>
            <a:gd name="f89" fmla="cos 1 f80"/>
            <a:gd name="f90" fmla="cos 1 f81"/>
            <a:gd name="f91" fmla="sin 1 f81"/>
            <a:gd name="f92" fmla="sin 1 f80"/>
            <a:gd name="f93" fmla="*/ f75 f48 1"/>
            <a:gd name="f94" fmla="*/ f84 1 100000"/>
            <a:gd name="f95" fmla="+- 0 0 f85"/>
            <a:gd name="f96" fmla="+- 0 0 f86"/>
            <a:gd name="f97" fmla="+- 0 0 f87"/>
            <a:gd name="f98" fmla="+- 0 0 f88"/>
            <a:gd name="f99" fmla="*/ f82 f19 1"/>
            <a:gd name="f100" fmla="*/ f83 f19 1"/>
            <a:gd name="f101" fmla="+- 0 0 f89"/>
            <a:gd name="f102" fmla="+- 0 0 f90"/>
            <a:gd name="f103" fmla="+- 0 0 f91"/>
            <a:gd name="f104" fmla="+- 0 0 f92"/>
            <a:gd name="f105" fmla="+- 0 0 f95"/>
            <a:gd name="f106" fmla="+- 0 0 f96"/>
            <a:gd name="f107" fmla="+- 0 0 f97"/>
            <a:gd name="f108" fmla="+- 0 0 f98"/>
            <a:gd name="f109" fmla="*/ f99 1 50000"/>
            <a:gd name="f110" fmla="*/ f100 1 50000"/>
            <a:gd name="f111" fmla="+- 0 0 f101"/>
            <a:gd name="f112" fmla="+- 0 0 f102"/>
            <a:gd name="f113" fmla="+- 0 0 f103"/>
            <a:gd name="f114" fmla="+- 0 0 f104"/>
            <a:gd name="f115" fmla="*/ f105 f82 1"/>
            <a:gd name="f116" fmla="*/ f106 f82 1"/>
            <a:gd name="f117" fmla="*/ f107 f83 1"/>
            <a:gd name="f118" fmla="*/ f108 f83 1"/>
            <a:gd name="f119" fmla="*/ f111 f109 1"/>
            <a:gd name="f120" fmla="*/ f112 f109 1"/>
            <a:gd name="f121" fmla="*/ f113 f110 1"/>
            <a:gd name="f122" fmla="*/ f114 f110 1"/>
            <a:gd name="f123" fmla="+- f94 f110 0"/>
            <a:gd name="f124" fmla="+- f75 0 f115"/>
            <a:gd name="f125" fmla="+- f75 0 f116"/>
            <a:gd name="f126" fmla="+- f75 f116 0"/>
            <a:gd name="f127" fmla="+- f75 f115 0"/>
            <a:gd name="f128" fmla="+- f94 0 f117"/>
            <a:gd name="f129" fmla="+- f94 0 f118"/>
            <a:gd name="f130" fmla="+- f75 0 f119"/>
            <a:gd name="f131" fmla="+- f75 0 f120"/>
            <a:gd name="f132" fmla="+- f75 f120 0"/>
            <a:gd name="f133" fmla="+- f75 f119 0"/>
            <a:gd name="f134" fmla="+- f94 0 f121"/>
            <a:gd name="f135" fmla="+- f94 0 f122"/>
            <a:gd name="f136" fmla="*/ f123 f48 1"/>
            <a:gd name="f137" fmla="*/ f130 f48 1"/>
            <a:gd name="f138" fmla="*/ f134 f48 1"/>
            <a:gd name="f139" fmla="*/ f133 f48 1"/>
            <a:gd name="f140" fmla="*/ f124 f48 1"/>
            <a:gd name="f141" fmla="*/ f128 f48 1"/>
            <a:gd name="f142" fmla="*/ f131 f48 1"/>
            <a:gd name="f143" fmla="*/ f132 f48 1"/>
            <a:gd name="f144" fmla="*/ f127 f48 1"/>
            <a:gd name="f145" fmla="*/ f135 f48 1"/>
            <a:gd name="f146" fmla="*/ f126 f48 1"/>
            <a:gd name="f147" fmla="*/ f129 f48 1"/>
            <a:gd name="f148" fmla="*/ f125 f48 1"/>
          </a:gdLst>
          <a:ahLst/>
          <a:cxnLst>
            <a:cxn ang="3cd4">
              <a:pos x="hc" y="t"/>
            </a:cxn>
            <a:cxn ang="0">
              <a:pos x="r" y="vc"/>
            </a:cxn>
            <a:cxn ang="cd4">
              <a:pos x="hc" y="b"/>
            </a:cxn>
            <a:cxn ang="cd2">
              <a:pos x="l" y="vc"/>
            </a:cxn>
            <a:cxn ang="f45">
              <a:pos x="f140" y="f141"/>
            </a:cxn>
            <a:cxn ang="f46">
              <a:pos x="f148" y="f147"/>
            </a:cxn>
            <a:cxn ang="f46">
              <a:pos x="f146" y="f147"/>
            </a:cxn>
            <a:cxn ang="f47">
              <a:pos x="f144" y="f141"/>
            </a:cxn>
          </a:cxnLst>
          <a:rect l="f137" t="f138" r="f139" b="f136"/>
          <a:pathLst>
            <a:path>
              <a:moveTo>
                <a:pt x="f140" y="f141"/>
              </a:moveTo>
              <a:lnTo>
                <a:pt x="f142" y="f138"/>
              </a:lnTo>
              <a:lnTo>
                <a:pt x="f93" y="f61"/>
              </a:lnTo>
              <a:lnTo>
                <a:pt x="f143" y="f138"/>
              </a:lnTo>
              <a:lnTo>
                <a:pt x="f144" y="f141"/>
              </a:lnTo>
              <a:lnTo>
                <a:pt x="f139" y="f145"/>
              </a:lnTo>
              <a:lnTo>
                <a:pt x="f146" y="f147"/>
              </a:lnTo>
              <a:lnTo>
                <a:pt x="f93" y="f136"/>
              </a:lnTo>
              <a:lnTo>
                <a:pt x="f148" y="f147"/>
              </a:lnTo>
              <a:lnTo>
                <a:pt x="f137" y="f145"/>
              </a:lnTo>
              <a:close/>
            </a:path>
          </a:pathLst>
        </a:custGeom>
        <a:solidFill>
          <a:srgbClr val="FFFF00"/>
        </a:solidFill>
        <a:ln w="9528" cap="flat">
          <a:solidFill>
            <a:srgbClr val="000000"/>
          </a:solidFill>
          <a:prstDash val="solid"/>
          <a:round/>
        </a:ln>
      </xdr:spPr>
      <xdr:txBody>
        <a:bodyPr vert="horz" wrap="square" lIns="18288"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12</xdr:col>
      <xdr:colOff>50224</xdr:colOff>
      <xdr:row>2</xdr:row>
      <xdr:rowOff>27249</xdr:rowOff>
    </xdr:from>
    <xdr:ext cx="568902" cy="375902"/>
    <xdr:pic>
      <xdr:nvPicPr>
        <xdr:cNvPr id="3" name="Picture 3">
          <a:extLst>
            <a:ext uri="{FF2B5EF4-FFF2-40B4-BE49-F238E27FC236}">
              <a16:creationId xmlns:a16="http://schemas.microsoft.com/office/drawing/2014/main" id="{708626B5-DE9F-407D-A84C-7B762D892453}"/>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a:xfrm>
          <a:off x="5784274" y="408249"/>
          <a:ext cx="568902" cy="375902"/>
        </a:xfrm>
        <a:prstGeom prst="rect">
          <a:avLst/>
        </a:prstGeom>
        <a:noFill/>
        <a:ln cap="flat">
          <a:noFill/>
        </a:ln>
      </xdr:spPr>
    </xdr:pic>
    <xdr:clientData/>
  </xdr:oneCellAnchor>
  <xdr:oneCellAnchor>
    <xdr:from>
      <xdr:col>9</xdr:col>
      <xdr:colOff>13139</xdr:colOff>
      <xdr:row>18</xdr:row>
      <xdr:rowOff>0</xdr:rowOff>
    </xdr:from>
    <xdr:ext cx="136803" cy="137946"/>
    <xdr:sp macro="" textlink="">
      <xdr:nvSpPr>
        <xdr:cNvPr id="14" name="Circle: Hollow 223">
          <a:extLst>
            <a:ext uri="{FF2B5EF4-FFF2-40B4-BE49-F238E27FC236}">
              <a16:creationId xmlns:a16="http://schemas.microsoft.com/office/drawing/2014/main" id="{B75A29B2-E420-4C82-8935-9DEDA7FC7C9B}"/>
            </a:ext>
          </a:extLst>
        </xdr:cNvPr>
        <xdr:cNvSpPr/>
      </xdr:nvSpPr>
      <xdr:spPr>
        <a:xfrm>
          <a:off x="5324279" y="3169920"/>
          <a:ext cx="136803" cy="137946"/>
        </a:xfrm>
        <a:custGeom>
          <a:avLst>
            <a:gd name="f11" fmla="val 25000"/>
          </a:avLst>
          <a:gdLst>
            <a:gd name="f1" fmla="val 21600000"/>
            <a:gd name="f2" fmla="val 10800000"/>
            <a:gd name="f3" fmla="val 5400000"/>
            <a:gd name="f4" fmla="val 180"/>
            <a:gd name="f5" fmla="val w"/>
            <a:gd name="f6" fmla="val h"/>
            <a:gd name="f7" fmla="val ss"/>
            <a:gd name="f8" fmla="val 0"/>
            <a:gd name="f9" fmla="*/ 5419351 1 1725033"/>
            <a:gd name="f10" fmla="+- 0 0 21600000"/>
            <a:gd name="f11" fmla="val 25000"/>
            <a:gd name="f12" fmla="+- 0 0 -360"/>
            <a:gd name="f13" fmla="+- 0 0 -180"/>
            <a:gd name="f14" fmla="abs f5"/>
            <a:gd name="f15" fmla="abs f6"/>
            <a:gd name="f16" fmla="abs f7"/>
            <a:gd name="f17" fmla="val f8"/>
            <a:gd name="f18" fmla="val f11"/>
            <a:gd name="f19" fmla="+- 2700000 f3 0"/>
            <a:gd name="f20" fmla="*/ f12 f2 1"/>
            <a:gd name="f21" fmla="*/ f13 f2 1"/>
            <a:gd name="f22" fmla="?: f14 f5 1"/>
            <a:gd name="f23" fmla="?: f15 f6 1"/>
            <a:gd name="f24" fmla="?: f16 f7 1"/>
            <a:gd name="f25" fmla="*/ f19 f9 1"/>
            <a:gd name="f26" fmla="*/ f20 1 f4"/>
            <a:gd name="f27" fmla="*/ f21 1 f4"/>
            <a:gd name="f28" fmla="*/ f22 1 21600"/>
            <a:gd name="f29" fmla="*/ f23 1 21600"/>
            <a:gd name="f30" fmla="*/ 21600 f22 1"/>
            <a:gd name="f31" fmla="*/ 21600 f23 1"/>
            <a:gd name="f32" fmla="*/ f25 1 f2"/>
            <a:gd name="f33" fmla="+- f26 0 f3"/>
            <a:gd name="f34" fmla="+- f27 0 f3"/>
            <a:gd name="f35" fmla="min f29 f28"/>
            <a:gd name="f36" fmla="*/ f30 1 f24"/>
            <a:gd name="f37" fmla="*/ f31 1 f24"/>
            <a:gd name="f38" fmla="+- 0 0 f32"/>
            <a:gd name="f39" fmla="val f36"/>
            <a:gd name="f40" fmla="val f37"/>
            <a:gd name="f41" fmla="+- 0 0 f38"/>
            <a:gd name="f42" fmla="*/ f17 f35 1"/>
            <a:gd name="f43" fmla="+- f40 0 f17"/>
            <a:gd name="f44" fmla="+- f39 0 f17"/>
            <a:gd name="f45" fmla="*/ f41 f2 1"/>
            <a:gd name="f46" fmla="*/ f43 1 2"/>
            <a:gd name="f47" fmla="*/ f44 1 2"/>
            <a:gd name="f48" fmla="min f44 f43"/>
            <a:gd name="f49" fmla="*/ f45 1 f9"/>
            <a:gd name="f50" fmla="+- f17 f46 0"/>
            <a:gd name="f51" fmla="+- f17 f47 0"/>
            <a:gd name="f52" fmla="*/ f48 f18 1"/>
            <a:gd name="f53" fmla="+- f49 0 f3"/>
            <a:gd name="f54" fmla="*/ f47 f35 1"/>
            <a:gd name="f55" fmla="*/ f46 f35 1"/>
            <a:gd name="f56" fmla="*/ f52 1 100000"/>
            <a:gd name="f57" fmla="cos 1 f53"/>
            <a:gd name="f58" fmla="sin 1 f53"/>
            <a:gd name="f59" fmla="*/ f50 f35 1"/>
            <a:gd name="f60" fmla="+- f47 0 f56"/>
            <a:gd name="f61" fmla="+- f46 0 f56"/>
            <a:gd name="f62" fmla="+- 0 0 f57"/>
            <a:gd name="f63" fmla="+- 0 0 f58"/>
            <a:gd name="f64" fmla="*/ f56 f35 1"/>
            <a:gd name="f65" fmla="+- 0 0 f62"/>
            <a:gd name="f66" fmla="+- 0 0 f63"/>
            <a:gd name="f67" fmla="*/ f60 f35 1"/>
            <a:gd name="f68" fmla="*/ f61 f35 1"/>
            <a:gd name="f69" fmla="*/ f65 f47 1"/>
            <a:gd name="f70" fmla="*/ f66 f46 1"/>
            <a:gd name="f71" fmla="+- f51 0 f69"/>
            <a:gd name="f72" fmla="+- f51 f69 0"/>
            <a:gd name="f73" fmla="+- f50 0 f70"/>
            <a:gd name="f74" fmla="+- f50 f70 0"/>
            <a:gd name="f75" fmla="*/ f71 f35 1"/>
            <a:gd name="f76" fmla="*/ f73 f35 1"/>
            <a:gd name="f77" fmla="*/ f72 f35 1"/>
            <a:gd name="f78" fmla="*/ f74 f35 1"/>
          </a:gdLst>
          <a:ahLst/>
          <a:cxnLst>
            <a:cxn ang="3cd4">
              <a:pos x="hc" y="t"/>
            </a:cxn>
            <a:cxn ang="0">
              <a:pos x="r" y="vc"/>
            </a:cxn>
            <a:cxn ang="cd4">
              <a:pos x="hc" y="b"/>
            </a:cxn>
            <a:cxn ang="cd2">
              <a:pos x="l" y="vc"/>
            </a:cxn>
            <a:cxn ang="f33">
              <a:pos x="f75" y="f76"/>
            </a:cxn>
            <a:cxn ang="f34">
              <a:pos x="f75" y="f78"/>
            </a:cxn>
            <a:cxn ang="f34">
              <a:pos x="f77" y="f78"/>
            </a:cxn>
            <a:cxn ang="f33">
              <a:pos x="f77" y="f76"/>
            </a:cxn>
          </a:cxnLst>
          <a:rect l="f75" t="f76" r="f77" b="f78"/>
          <a:pathLst>
            <a:path>
              <a:moveTo>
                <a:pt x="f42" y="f59"/>
              </a:moveTo>
              <a:arcTo wR="f54" hR="f55" stAng="f2" swAng="f1"/>
              <a:close/>
              <a:moveTo>
                <a:pt x="f64" y="f59"/>
              </a:moveTo>
              <a:arcTo wR="f67" hR="f68" stAng="f2" swAng="f10"/>
              <a:close/>
            </a:path>
          </a:pathLst>
        </a:custGeom>
        <a:solidFill>
          <a:srgbClr val="000000"/>
        </a:solidFill>
        <a:ln w="12701" cap="flat">
          <a:solidFill>
            <a:srgbClr val="2F528F"/>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12</xdr:col>
      <xdr:colOff>86712</xdr:colOff>
      <xdr:row>18</xdr:row>
      <xdr:rowOff>0</xdr:rowOff>
    </xdr:from>
    <xdr:ext cx="141887" cy="137946"/>
    <xdr:sp macro="" textlink="">
      <xdr:nvSpPr>
        <xdr:cNvPr id="15" name="Circle: Hollow 224">
          <a:extLst>
            <a:ext uri="{FF2B5EF4-FFF2-40B4-BE49-F238E27FC236}">
              <a16:creationId xmlns:a16="http://schemas.microsoft.com/office/drawing/2014/main" id="{FCD73531-05FC-4B5D-B62C-CEB5863B85D8}"/>
            </a:ext>
          </a:extLst>
        </xdr:cNvPr>
        <xdr:cNvSpPr/>
      </xdr:nvSpPr>
      <xdr:spPr>
        <a:xfrm>
          <a:off x="5900772" y="3169920"/>
          <a:ext cx="141887" cy="137946"/>
        </a:xfrm>
        <a:custGeom>
          <a:avLst>
            <a:gd name="f11" fmla="val 25000"/>
          </a:avLst>
          <a:gdLst>
            <a:gd name="f1" fmla="val 21600000"/>
            <a:gd name="f2" fmla="val 10800000"/>
            <a:gd name="f3" fmla="val 5400000"/>
            <a:gd name="f4" fmla="val 180"/>
            <a:gd name="f5" fmla="val w"/>
            <a:gd name="f6" fmla="val h"/>
            <a:gd name="f7" fmla="val ss"/>
            <a:gd name="f8" fmla="val 0"/>
            <a:gd name="f9" fmla="*/ 5419351 1 1725033"/>
            <a:gd name="f10" fmla="+- 0 0 21600000"/>
            <a:gd name="f11" fmla="val 25000"/>
            <a:gd name="f12" fmla="+- 0 0 -360"/>
            <a:gd name="f13" fmla="+- 0 0 -180"/>
            <a:gd name="f14" fmla="abs f5"/>
            <a:gd name="f15" fmla="abs f6"/>
            <a:gd name="f16" fmla="abs f7"/>
            <a:gd name="f17" fmla="val f8"/>
            <a:gd name="f18" fmla="val f11"/>
            <a:gd name="f19" fmla="+- 2700000 f3 0"/>
            <a:gd name="f20" fmla="*/ f12 f2 1"/>
            <a:gd name="f21" fmla="*/ f13 f2 1"/>
            <a:gd name="f22" fmla="?: f14 f5 1"/>
            <a:gd name="f23" fmla="?: f15 f6 1"/>
            <a:gd name="f24" fmla="?: f16 f7 1"/>
            <a:gd name="f25" fmla="*/ f19 f9 1"/>
            <a:gd name="f26" fmla="*/ f20 1 f4"/>
            <a:gd name="f27" fmla="*/ f21 1 f4"/>
            <a:gd name="f28" fmla="*/ f22 1 21600"/>
            <a:gd name="f29" fmla="*/ f23 1 21600"/>
            <a:gd name="f30" fmla="*/ 21600 f22 1"/>
            <a:gd name="f31" fmla="*/ 21600 f23 1"/>
            <a:gd name="f32" fmla="*/ f25 1 f2"/>
            <a:gd name="f33" fmla="+- f26 0 f3"/>
            <a:gd name="f34" fmla="+- f27 0 f3"/>
            <a:gd name="f35" fmla="min f29 f28"/>
            <a:gd name="f36" fmla="*/ f30 1 f24"/>
            <a:gd name="f37" fmla="*/ f31 1 f24"/>
            <a:gd name="f38" fmla="+- 0 0 f32"/>
            <a:gd name="f39" fmla="val f36"/>
            <a:gd name="f40" fmla="val f37"/>
            <a:gd name="f41" fmla="+- 0 0 f38"/>
            <a:gd name="f42" fmla="*/ f17 f35 1"/>
            <a:gd name="f43" fmla="+- f40 0 f17"/>
            <a:gd name="f44" fmla="+- f39 0 f17"/>
            <a:gd name="f45" fmla="*/ f41 f2 1"/>
            <a:gd name="f46" fmla="*/ f43 1 2"/>
            <a:gd name="f47" fmla="*/ f44 1 2"/>
            <a:gd name="f48" fmla="min f44 f43"/>
            <a:gd name="f49" fmla="*/ f45 1 f9"/>
            <a:gd name="f50" fmla="+- f17 f46 0"/>
            <a:gd name="f51" fmla="+- f17 f47 0"/>
            <a:gd name="f52" fmla="*/ f48 f18 1"/>
            <a:gd name="f53" fmla="+- f49 0 f3"/>
            <a:gd name="f54" fmla="*/ f47 f35 1"/>
            <a:gd name="f55" fmla="*/ f46 f35 1"/>
            <a:gd name="f56" fmla="*/ f52 1 100000"/>
            <a:gd name="f57" fmla="cos 1 f53"/>
            <a:gd name="f58" fmla="sin 1 f53"/>
            <a:gd name="f59" fmla="*/ f50 f35 1"/>
            <a:gd name="f60" fmla="+- f47 0 f56"/>
            <a:gd name="f61" fmla="+- f46 0 f56"/>
            <a:gd name="f62" fmla="+- 0 0 f57"/>
            <a:gd name="f63" fmla="+- 0 0 f58"/>
            <a:gd name="f64" fmla="*/ f56 f35 1"/>
            <a:gd name="f65" fmla="+- 0 0 f62"/>
            <a:gd name="f66" fmla="+- 0 0 f63"/>
            <a:gd name="f67" fmla="*/ f60 f35 1"/>
            <a:gd name="f68" fmla="*/ f61 f35 1"/>
            <a:gd name="f69" fmla="*/ f65 f47 1"/>
            <a:gd name="f70" fmla="*/ f66 f46 1"/>
            <a:gd name="f71" fmla="+- f51 0 f69"/>
            <a:gd name="f72" fmla="+- f51 f69 0"/>
            <a:gd name="f73" fmla="+- f50 0 f70"/>
            <a:gd name="f74" fmla="+- f50 f70 0"/>
            <a:gd name="f75" fmla="*/ f71 f35 1"/>
            <a:gd name="f76" fmla="*/ f73 f35 1"/>
            <a:gd name="f77" fmla="*/ f72 f35 1"/>
            <a:gd name="f78" fmla="*/ f74 f35 1"/>
          </a:gdLst>
          <a:ahLst/>
          <a:cxnLst>
            <a:cxn ang="3cd4">
              <a:pos x="hc" y="t"/>
            </a:cxn>
            <a:cxn ang="0">
              <a:pos x="r" y="vc"/>
            </a:cxn>
            <a:cxn ang="cd4">
              <a:pos x="hc" y="b"/>
            </a:cxn>
            <a:cxn ang="cd2">
              <a:pos x="l" y="vc"/>
            </a:cxn>
            <a:cxn ang="f33">
              <a:pos x="f75" y="f76"/>
            </a:cxn>
            <a:cxn ang="f34">
              <a:pos x="f75" y="f78"/>
            </a:cxn>
            <a:cxn ang="f34">
              <a:pos x="f77" y="f78"/>
            </a:cxn>
            <a:cxn ang="f33">
              <a:pos x="f77" y="f76"/>
            </a:cxn>
          </a:cxnLst>
          <a:rect l="f75" t="f76" r="f77" b="f78"/>
          <a:pathLst>
            <a:path>
              <a:moveTo>
                <a:pt x="f42" y="f59"/>
              </a:moveTo>
              <a:arcTo wR="f54" hR="f55" stAng="f2" swAng="f1"/>
              <a:close/>
              <a:moveTo>
                <a:pt x="f64" y="f59"/>
              </a:moveTo>
              <a:arcTo wR="f67" hR="f68" stAng="f2" swAng="f10"/>
              <a:close/>
            </a:path>
          </a:pathLst>
        </a:custGeom>
        <a:solidFill>
          <a:srgbClr val="000000"/>
        </a:solidFill>
        <a:ln w="12701" cap="flat">
          <a:solidFill>
            <a:srgbClr val="2F528F"/>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9</xdr:col>
      <xdr:colOff>0</xdr:colOff>
      <xdr:row>165</xdr:row>
      <xdr:rowOff>0</xdr:rowOff>
    </xdr:from>
    <xdr:ext cx="230136" cy="134279"/>
    <xdr:pic>
      <xdr:nvPicPr>
        <xdr:cNvPr id="172" name="Picture 40" descr="UK2.jpg">
          <a:extLst>
            <a:ext uri="{FF2B5EF4-FFF2-40B4-BE49-F238E27FC236}">
              <a16:creationId xmlns:a16="http://schemas.microsoft.com/office/drawing/2014/main" id="{589BD12C-7D78-4318-B150-926E4EEBCED8}"/>
            </a:ext>
          </a:extLst>
        </xdr:cNvPr>
        <xdr:cNvPicPr>
          <a:picLocks noChangeAspect="1"/>
        </xdr:cNvPicPr>
      </xdr:nvPicPr>
      <xdr:blipFill>
        <a:blip xmlns:r="http://schemas.openxmlformats.org/officeDocument/2006/relationships" r:embed="rId1"/>
        <a:srcRect/>
        <a:stretch>
          <a:fillRect/>
        </a:stretch>
      </xdr:blipFill>
      <xdr:spPr>
        <a:xfrm>
          <a:off x="5327073" y="10536382"/>
          <a:ext cx="230136" cy="134279"/>
        </a:xfrm>
        <a:prstGeom prst="rect">
          <a:avLst/>
        </a:prstGeom>
        <a:noFill/>
        <a:ln cap="flat">
          <a:noFill/>
        </a:ln>
      </xdr:spPr>
    </xdr:pic>
    <xdr:clientData/>
  </xdr:oneCellAnchor>
  <xdr:oneCellAnchor>
    <xdr:from>
      <xdr:col>9</xdr:col>
      <xdr:colOff>0</xdr:colOff>
      <xdr:row>162</xdr:row>
      <xdr:rowOff>0</xdr:rowOff>
    </xdr:from>
    <xdr:ext cx="230136" cy="134279"/>
    <xdr:pic>
      <xdr:nvPicPr>
        <xdr:cNvPr id="169" name="Picture 40" descr="UK2.jpg">
          <a:extLst>
            <a:ext uri="{FF2B5EF4-FFF2-40B4-BE49-F238E27FC236}">
              <a16:creationId xmlns:a16="http://schemas.microsoft.com/office/drawing/2014/main" id="{5DE2CBD3-E15A-44AF-ACAF-9942CB0AF4E1}"/>
            </a:ext>
          </a:extLst>
        </xdr:cNvPr>
        <xdr:cNvPicPr>
          <a:picLocks noChangeAspect="1"/>
        </xdr:cNvPicPr>
      </xdr:nvPicPr>
      <xdr:blipFill>
        <a:blip xmlns:r="http://schemas.openxmlformats.org/officeDocument/2006/relationships" r:embed="rId1"/>
        <a:srcRect/>
        <a:stretch>
          <a:fillRect/>
        </a:stretch>
      </xdr:blipFill>
      <xdr:spPr>
        <a:xfrm>
          <a:off x="5143500" y="13043297"/>
          <a:ext cx="230136" cy="134279"/>
        </a:xfrm>
        <a:prstGeom prst="rect">
          <a:avLst/>
        </a:prstGeom>
        <a:noFill/>
        <a:ln cap="flat">
          <a:noFill/>
        </a:ln>
      </xdr:spPr>
    </xdr:pic>
    <xdr:clientData/>
  </xdr:oneCellAnchor>
  <xdr:oneCellAnchor>
    <xdr:from>
      <xdr:col>9</xdr:col>
      <xdr:colOff>0</xdr:colOff>
      <xdr:row>144</xdr:row>
      <xdr:rowOff>0</xdr:rowOff>
    </xdr:from>
    <xdr:ext cx="230136" cy="134279"/>
    <xdr:pic>
      <xdr:nvPicPr>
        <xdr:cNvPr id="188" name="Picture 40" descr="UK2.jpg">
          <a:extLst>
            <a:ext uri="{FF2B5EF4-FFF2-40B4-BE49-F238E27FC236}">
              <a16:creationId xmlns:a16="http://schemas.microsoft.com/office/drawing/2014/main" id="{6DAC8978-A2B0-4709-A836-251EFD3E3585}"/>
            </a:ext>
          </a:extLst>
        </xdr:cNvPr>
        <xdr:cNvPicPr>
          <a:picLocks noChangeAspect="1"/>
        </xdr:cNvPicPr>
      </xdr:nvPicPr>
      <xdr:blipFill>
        <a:blip xmlns:r="http://schemas.openxmlformats.org/officeDocument/2006/relationships" r:embed="rId1"/>
        <a:srcRect/>
        <a:stretch>
          <a:fillRect/>
        </a:stretch>
      </xdr:blipFill>
      <xdr:spPr>
        <a:xfrm>
          <a:off x="5152159" y="11880273"/>
          <a:ext cx="230136" cy="134279"/>
        </a:xfrm>
        <a:prstGeom prst="rect">
          <a:avLst/>
        </a:prstGeom>
        <a:noFill/>
        <a:ln cap="flat">
          <a:noFill/>
        </a:ln>
      </xdr:spPr>
    </xdr:pic>
    <xdr:clientData/>
  </xdr:oneCellAnchor>
  <xdr:oneCellAnchor>
    <xdr:from>
      <xdr:col>9</xdr:col>
      <xdr:colOff>0</xdr:colOff>
      <xdr:row>181</xdr:row>
      <xdr:rowOff>0</xdr:rowOff>
    </xdr:from>
    <xdr:ext cx="230136" cy="134279"/>
    <xdr:pic>
      <xdr:nvPicPr>
        <xdr:cNvPr id="161" name="Picture 40" descr="UK2.jpg">
          <a:extLst>
            <a:ext uri="{FF2B5EF4-FFF2-40B4-BE49-F238E27FC236}">
              <a16:creationId xmlns:a16="http://schemas.microsoft.com/office/drawing/2014/main" id="{BCD79831-B3EA-4447-8CDA-0886E2994152}"/>
            </a:ext>
          </a:extLst>
        </xdr:cNvPr>
        <xdr:cNvPicPr>
          <a:picLocks noChangeAspect="1"/>
        </xdr:cNvPicPr>
      </xdr:nvPicPr>
      <xdr:blipFill>
        <a:blip xmlns:r="http://schemas.openxmlformats.org/officeDocument/2006/relationships" r:embed="rId1"/>
        <a:srcRect/>
        <a:stretch>
          <a:fillRect/>
        </a:stretch>
      </xdr:blipFill>
      <xdr:spPr>
        <a:xfrm>
          <a:off x="5186795" y="13231091"/>
          <a:ext cx="230136" cy="134279"/>
        </a:xfrm>
        <a:prstGeom prst="rect">
          <a:avLst/>
        </a:prstGeom>
        <a:noFill/>
        <a:ln cap="flat">
          <a:noFill/>
        </a:ln>
      </xdr:spPr>
    </xdr:pic>
    <xdr:clientData/>
  </xdr:oneCellAnchor>
  <xdr:oneCellAnchor>
    <xdr:from>
      <xdr:col>13</xdr:col>
      <xdr:colOff>0</xdr:colOff>
      <xdr:row>470</xdr:row>
      <xdr:rowOff>17317</xdr:rowOff>
    </xdr:from>
    <xdr:ext cx="156636" cy="134105"/>
    <xdr:pic>
      <xdr:nvPicPr>
        <xdr:cNvPr id="204" name="Picture 1">
          <a:extLst>
            <a:ext uri="{FF2B5EF4-FFF2-40B4-BE49-F238E27FC236}">
              <a16:creationId xmlns:a16="http://schemas.microsoft.com/office/drawing/2014/main" id="{AAC53C5D-20AD-44C8-8CC8-40059D0B608E}"/>
            </a:ext>
          </a:extLst>
        </xdr:cNvPr>
        <xdr:cNvPicPr>
          <a:picLocks noChangeAspect="1"/>
        </xdr:cNvPicPr>
      </xdr:nvPicPr>
      <xdr:blipFill>
        <a:blip xmlns:r="http://schemas.openxmlformats.org/officeDocument/2006/relationships" r:embed="rId2"/>
        <a:srcRect/>
        <a:stretch>
          <a:fillRect/>
        </a:stretch>
      </xdr:blipFill>
      <xdr:spPr>
        <a:xfrm>
          <a:off x="6000750" y="22747431"/>
          <a:ext cx="156636" cy="134105"/>
        </a:xfrm>
        <a:prstGeom prst="rect">
          <a:avLst/>
        </a:prstGeom>
        <a:noFill/>
        <a:ln cap="flat">
          <a:noFill/>
        </a:ln>
      </xdr:spPr>
    </xdr:pic>
    <xdr:clientData/>
  </xdr:oneCellAnchor>
  <xdr:oneCellAnchor>
    <xdr:from>
      <xdr:col>9</xdr:col>
      <xdr:colOff>0</xdr:colOff>
      <xdr:row>471</xdr:row>
      <xdr:rowOff>0</xdr:rowOff>
    </xdr:from>
    <xdr:ext cx="230136" cy="134279"/>
    <xdr:pic>
      <xdr:nvPicPr>
        <xdr:cNvPr id="207" name="Picture 40" descr="UK2.jpg">
          <a:extLst>
            <a:ext uri="{FF2B5EF4-FFF2-40B4-BE49-F238E27FC236}">
              <a16:creationId xmlns:a16="http://schemas.microsoft.com/office/drawing/2014/main" id="{C9267DAD-C47A-429D-848E-AF4A00B60E9D}"/>
            </a:ext>
          </a:extLst>
        </xdr:cNvPr>
        <xdr:cNvPicPr>
          <a:picLocks noChangeAspect="1"/>
        </xdr:cNvPicPr>
      </xdr:nvPicPr>
      <xdr:blipFill>
        <a:blip xmlns:r="http://schemas.openxmlformats.org/officeDocument/2006/relationships" r:embed="rId1"/>
        <a:srcRect/>
        <a:stretch>
          <a:fillRect/>
        </a:stretch>
      </xdr:blipFill>
      <xdr:spPr>
        <a:xfrm>
          <a:off x="5186795" y="21708341"/>
          <a:ext cx="230136" cy="134279"/>
        </a:xfrm>
        <a:prstGeom prst="rect">
          <a:avLst/>
        </a:prstGeom>
        <a:noFill/>
        <a:ln cap="flat">
          <a:noFill/>
        </a:ln>
      </xdr:spPr>
    </xdr:pic>
    <xdr:clientData/>
  </xdr:oneCellAnchor>
  <xdr:oneCellAnchor>
    <xdr:from>
      <xdr:col>9</xdr:col>
      <xdr:colOff>0</xdr:colOff>
      <xdr:row>278</xdr:row>
      <xdr:rowOff>0</xdr:rowOff>
    </xdr:from>
    <xdr:ext cx="230136" cy="134279"/>
    <xdr:pic>
      <xdr:nvPicPr>
        <xdr:cNvPr id="52" name="Picture 40" descr="UK2.jpg">
          <a:extLst>
            <a:ext uri="{FF2B5EF4-FFF2-40B4-BE49-F238E27FC236}">
              <a16:creationId xmlns:a16="http://schemas.microsoft.com/office/drawing/2014/main" id="{C4315E31-6321-453E-84BA-CDCC03A25A54}"/>
            </a:ext>
          </a:extLst>
        </xdr:cNvPr>
        <xdr:cNvPicPr>
          <a:picLocks noChangeAspect="1"/>
        </xdr:cNvPicPr>
      </xdr:nvPicPr>
      <xdr:blipFill>
        <a:blip xmlns:r="http://schemas.openxmlformats.org/officeDocument/2006/relationships" r:embed="rId1"/>
        <a:srcRect/>
        <a:stretch>
          <a:fillRect/>
        </a:stretch>
      </xdr:blipFill>
      <xdr:spPr>
        <a:xfrm>
          <a:off x="5429250" y="17257568"/>
          <a:ext cx="230136" cy="134279"/>
        </a:xfrm>
        <a:prstGeom prst="rect">
          <a:avLst/>
        </a:prstGeom>
        <a:noFill/>
        <a:ln cap="flat">
          <a:noFill/>
        </a:ln>
      </xdr:spPr>
    </xdr:pic>
    <xdr:clientData/>
  </xdr:oneCellAnchor>
  <xdr:oneCellAnchor>
    <xdr:from>
      <xdr:col>9</xdr:col>
      <xdr:colOff>0</xdr:colOff>
      <xdr:row>281</xdr:row>
      <xdr:rowOff>0</xdr:rowOff>
    </xdr:from>
    <xdr:ext cx="230136" cy="134279"/>
    <xdr:pic>
      <xdr:nvPicPr>
        <xdr:cNvPr id="53" name="Picture 40" descr="UK2.jpg">
          <a:extLst>
            <a:ext uri="{FF2B5EF4-FFF2-40B4-BE49-F238E27FC236}">
              <a16:creationId xmlns:a16="http://schemas.microsoft.com/office/drawing/2014/main" id="{7F7CD006-F3A5-4A24-9030-4FE358BBDFEC}"/>
            </a:ext>
          </a:extLst>
        </xdr:cNvPr>
        <xdr:cNvPicPr>
          <a:picLocks noChangeAspect="1"/>
        </xdr:cNvPicPr>
      </xdr:nvPicPr>
      <xdr:blipFill>
        <a:blip xmlns:r="http://schemas.openxmlformats.org/officeDocument/2006/relationships" r:embed="rId1"/>
        <a:srcRect/>
        <a:stretch>
          <a:fillRect/>
        </a:stretch>
      </xdr:blipFill>
      <xdr:spPr>
        <a:xfrm>
          <a:off x="5429250" y="17413432"/>
          <a:ext cx="230136" cy="134279"/>
        </a:xfrm>
        <a:prstGeom prst="rect">
          <a:avLst/>
        </a:prstGeom>
        <a:noFill/>
        <a:ln cap="flat">
          <a:noFill/>
        </a:ln>
      </xdr:spPr>
    </xdr:pic>
    <xdr:clientData/>
  </xdr:oneCellAnchor>
  <xdr:oneCellAnchor>
    <xdr:from>
      <xdr:col>9</xdr:col>
      <xdr:colOff>0</xdr:colOff>
      <xdr:row>259</xdr:row>
      <xdr:rowOff>0</xdr:rowOff>
    </xdr:from>
    <xdr:ext cx="230136" cy="134279"/>
    <xdr:pic>
      <xdr:nvPicPr>
        <xdr:cNvPr id="55" name="Picture 40" descr="UK2.jpg">
          <a:extLst>
            <a:ext uri="{FF2B5EF4-FFF2-40B4-BE49-F238E27FC236}">
              <a16:creationId xmlns:a16="http://schemas.microsoft.com/office/drawing/2014/main" id="{1EEE9719-426D-4514-BB7A-4C327EF3A8DF}"/>
            </a:ext>
          </a:extLst>
        </xdr:cNvPr>
        <xdr:cNvPicPr>
          <a:picLocks noChangeAspect="1"/>
        </xdr:cNvPicPr>
      </xdr:nvPicPr>
      <xdr:blipFill>
        <a:blip xmlns:r="http://schemas.openxmlformats.org/officeDocument/2006/relationships" r:embed="rId1"/>
        <a:srcRect/>
        <a:stretch>
          <a:fillRect/>
        </a:stretch>
      </xdr:blipFill>
      <xdr:spPr>
        <a:xfrm>
          <a:off x="5429250" y="15820159"/>
          <a:ext cx="230136" cy="134279"/>
        </a:xfrm>
        <a:prstGeom prst="rect">
          <a:avLst/>
        </a:prstGeom>
        <a:noFill/>
        <a:ln cap="flat">
          <a:noFill/>
        </a:ln>
      </xdr:spPr>
    </xdr:pic>
    <xdr:clientData/>
  </xdr:oneCellAnchor>
  <xdr:oneCellAnchor>
    <xdr:from>
      <xdr:col>9</xdr:col>
      <xdr:colOff>0</xdr:colOff>
      <xdr:row>256</xdr:row>
      <xdr:rowOff>0</xdr:rowOff>
    </xdr:from>
    <xdr:ext cx="230136" cy="134279"/>
    <xdr:pic>
      <xdr:nvPicPr>
        <xdr:cNvPr id="78" name="Picture 40" descr="UK2.jpg">
          <a:extLst>
            <a:ext uri="{FF2B5EF4-FFF2-40B4-BE49-F238E27FC236}">
              <a16:creationId xmlns:a16="http://schemas.microsoft.com/office/drawing/2014/main" id="{711E86DF-DA0C-464F-8295-0DE21B84A435}"/>
            </a:ext>
          </a:extLst>
        </xdr:cNvPr>
        <xdr:cNvPicPr>
          <a:picLocks noChangeAspect="1"/>
        </xdr:cNvPicPr>
      </xdr:nvPicPr>
      <xdr:blipFill>
        <a:blip xmlns:r="http://schemas.openxmlformats.org/officeDocument/2006/relationships" r:embed="rId1"/>
        <a:srcRect/>
        <a:stretch>
          <a:fillRect/>
        </a:stretch>
      </xdr:blipFill>
      <xdr:spPr>
        <a:xfrm>
          <a:off x="5186795" y="15759545"/>
          <a:ext cx="230136" cy="134279"/>
        </a:xfrm>
        <a:prstGeom prst="rect">
          <a:avLst/>
        </a:prstGeom>
        <a:noFill/>
        <a:ln cap="flat">
          <a:noFill/>
        </a:ln>
      </xdr:spPr>
    </xdr:pic>
    <xdr:clientData/>
  </xdr:oneCellAnchor>
  <xdr:oneCellAnchor>
    <xdr:from>
      <xdr:col>13</xdr:col>
      <xdr:colOff>0</xdr:colOff>
      <xdr:row>727</xdr:row>
      <xdr:rowOff>8659</xdr:rowOff>
    </xdr:from>
    <xdr:ext cx="156636" cy="134105"/>
    <xdr:pic>
      <xdr:nvPicPr>
        <xdr:cNvPr id="83" name="Picture 1">
          <a:extLst>
            <a:ext uri="{FF2B5EF4-FFF2-40B4-BE49-F238E27FC236}">
              <a16:creationId xmlns:a16="http://schemas.microsoft.com/office/drawing/2014/main" id="{B006F0B4-FE21-4067-92CD-B51B7B3395AB}"/>
            </a:ext>
          </a:extLst>
        </xdr:cNvPr>
        <xdr:cNvPicPr>
          <a:picLocks noChangeAspect="1"/>
        </xdr:cNvPicPr>
      </xdr:nvPicPr>
      <xdr:blipFill>
        <a:blip xmlns:r="http://schemas.openxmlformats.org/officeDocument/2006/relationships" r:embed="rId2"/>
        <a:srcRect/>
        <a:stretch>
          <a:fillRect/>
        </a:stretch>
      </xdr:blipFill>
      <xdr:spPr>
        <a:xfrm>
          <a:off x="6260523" y="33155659"/>
          <a:ext cx="156636" cy="134105"/>
        </a:xfrm>
        <a:prstGeom prst="rect">
          <a:avLst/>
        </a:prstGeom>
        <a:noFill/>
        <a:ln cap="flat">
          <a:noFill/>
        </a:ln>
      </xdr:spPr>
    </xdr:pic>
    <xdr:clientData/>
  </xdr:oneCellAnchor>
  <xdr:oneCellAnchor>
    <xdr:from>
      <xdr:col>8</xdr:col>
      <xdr:colOff>285027</xdr:colOff>
      <xdr:row>84</xdr:row>
      <xdr:rowOff>15875</xdr:rowOff>
    </xdr:from>
    <xdr:ext cx="230136" cy="134279"/>
    <xdr:pic>
      <xdr:nvPicPr>
        <xdr:cNvPr id="87" name="Picture 40" descr="UK2.jpg">
          <a:extLst>
            <a:ext uri="{FF2B5EF4-FFF2-40B4-BE49-F238E27FC236}">
              <a16:creationId xmlns:a16="http://schemas.microsoft.com/office/drawing/2014/main" id="{B95A70FE-307C-4E3B-A81F-789BF1CE5792}"/>
            </a:ext>
          </a:extLst>
        </xdr:cNvPr>
        <xdr:cNvPicPr>
          <a:picLocks noChangeAspect="1"/>
        </xdr:cNvPicPr>
      </xdr:nvPicPr>
      <xdr:blipFill>
        <a:blip xmlns:r="http://schemas.openxmlformats.org/officeDocument/2006/relationships" r:embed="rId1"/>
        <a:srcRect/>
        <a:stretch>
          <a:fillRect/>
        </a:stretch>
      </xdr:blipFill>
      <xdr:spPr>
        <a:xfrm>
          <a:off x="5168754" y="11311659"/>
          <a:ext cx="230136" cy="134279"/>
        </a:xfrm>
        <a:prstGeom prst="rect">
          <a:avLst/>
        </a:prstGeom>
        <a:noFill/>
        <a:ln cap="flat">
          <a:noFill/>
        </a:ln>
      </xdr:spPr>
    </xdr:pic>
    <xdr:clientData/>
  </xdr:oneCellAnchor>
  <xdr:oneCellAnchor>
    <xdr:from>
      <xdr:col>9</xdr:col>
      <xdr:colOff>0</xdr:colOff>
      <xdr:row>91</xdr:row>
      <xdr:rowOff>0</xdr:rowOff>
    </xdr:from>
    <xdr:ext cx="230136" cy="134279"/>
    <xdr:pic>
      <xdr:nvPicPr>
        <xdr:cNvPr id="88" name="Picture 40" descr="UK2.jpg">
          <a:extLst>
            <a:ext uri="{FF2B5EF4-FFF2-40B4-BE49-F238E27FC236}">
              <a16:creationId xmlns:a16="http://schemas.microsoft.com/office/drawing/2014/main" id="{4AE97B13-1E5D-40D0-9ACB-A63E35ED3DD6}"/>
            </a:ext>
          </a:extLst>
        </xdr:cNvPr>
        <xdr:cNvPicPr>
          <a:picLocks noChangeAspect="1"/>
        </xdr:cNvPicPr>
      </xdr:nvPicPr>
      <xdr:blipFill>
        <a:blip xmlns:r="http://schemas.openxmlformats.org/officeDocument/2006/relationships" r:embed="rId1"/>
        <a:srcRect/>
        <a:stretch>
          <a:fillRect/>
        </a:stretch>
      </xdr:blipFill>
      <xdr:spPr>
        <a:xfrm>
          <a:off x="5446568" y="11438659"/>
          <a:ext cx="230136" cy="134279"/>
        </a:xfrm>
        <a:prstGeom prst="rect">
          <a:avLst/>
        </a:prstGeom>
        <a:noFill/>
        <a:ln cap="flat">
          <a:noFill/>
        </a:ln>
      </xdr:spPr>
    </xdr:pic>
    <xdr:clientData/>
  </xdr:oneCellAnchor>
  <xdr:oneCellAnchor>
    <xdr:from>
      <xdr:col>13</xdr:col>
      <xdr:colOff>0</xdr:colOff>
      <xdr:row>108</xdr:row>
      <xdr:rowOff>9525</xdr:rowOff>
    </xdr:from>
    <xdr:ext cx="156636" cy="134105"/>
    <xdr:pic>
      <xdr:nvPicPr>
        <xdr:cNvPr id="90" name="Picture 1">
          <a:extLst>
            <a:ext uri="{FF2B5EF4-FFF2-40B4-BE49-F238E27FC236}">
              <a16:creationId xmlns:a16="http://schemas.microsoft.com/office/drawing/2014/main" id="{50C276DD-83A1-4A0F-B660-52FAD8201DB3}"/>
            </a:ext>
          </a:extLst>
        </xdr:cNvPr>
        <xdr:cNvPicPr>
          <a:picLocks noChangeAspect="1"/>
        </xdr:cNvPicPr>
      </xdr:nvPicPr>
      <xdr:blipFill>
        <a:blip xmlns:r="http://schemas.openxmlformats.org/officeDocument/2006/relationships" r:embed="rId2"/>
        <a:srcRect/>
        <a:stretch>
          <a:fillRect/>
        </a:stretch>
      </xdr:blipFill>
      <xdr:spPr>
        <a:xfrm>
          <a:off x="5991225" y="12420600"/>
          <a:ext cx="156636" cy="134105"/>
        </a:xfrm>
        <a:prstGeom prst="rect">
          <a:avLst/>
        </a:prstGeom>
        <a:noFill/>
        <a:ln cap="flat">
          <a:noFill/>
        </a:ln>
      </xdr:spPr>
    </xdr:pic>
    <xdr:clientData/>
  </xdr:oneCellAnchor>
  <xdr:oneCellAnchor>
    <xdr:from>
      <xdr:col>13</xdr:col>
      <xdr:colOff>0</xdr:colOff>
      <xdr:row>240</xdr:row>
      <xdr:rowOff>9525</xdr:rowOff>
    </xdr:from>
    <xdr:ext cx="156636" cy="134105"/>
    <xdr:pic>
      <xdr:nvPicPr>
        <xdr:cNvPr id="97" name="Picture 1">
          <a:extLst>
            <a:ext uri="{FF2B5EF4-FFF2-40B4-BE49-F238E27FC236}">
              <a16:creationId xmlns:a16="http://schemas.microsoft.com/office/drawing/2014/main" id="{B963CF8B-6080-489D-BABE-466E7DD0FE10}"/>
            </a:ext>
          </a:extLst>
        </xdr:cNvPr>
        <xdr:cNvPicPr>
          <a:picLocks noChangeAspect="1"/>
        </xdr:cNvPicPr>
      </xdr:nvPicPr>
      <xdr:blipFill>
        <a:blip xmlns:r="http://schemas.openxmlformats.org/officeDocument/2006/relationships" r:embed="rId2"/>
        <a:srcRect/>
        <a:stretch>
          <a:fillRect/>
        </a:stretch>
      </xdr:blipFill>
      <xdr:spPr>
        <a:xfrm>
          <a:off x="5991225" y="17421225"/>
          <a:ext cx="156636" cy="134105"/>
        </a:xfrm>
        <a:prstGeom prst="rect">
          <a:avLst/>
        </a:prstGeom>
        <a:noFill/>
        <a:ln cap="flat">
          <a:noFill/>
        </a:ln>
      </xdr:spPr>
    </xdr:pic>
    <xdr:clientData/>
  </xdr:oneCellAnchor>
  <xdr:oneCellAnchor>
    <xdr:from>
      <xdr:col>13</xdr:col>
      <xdr:colOff>0</xdr:colOff>
      <xdr:row>762</xdr:row>
      <xdr:rowOff>9525</xdr:rowOff>
    </xdr:from>
    <xdr:ext cx="156636" cy="134105"/>
    <xdr:pic>
      <xdr:nvPicPr>
        <xdr:cNvPr id="99" name="Picture 1">
          <a:extLst>
            <a:ext uri="{FF2B5EF4-FFF2-40B4-BE49-F238E27FC236}">
              <a16:creationId xmlns:a16="http://schemas.microsoft.com/office/drawing/2014/main" id="{6076C706-2EA7-4CE5-9320-7535E766852C}"/>
            </a:ext>
          </a:extLst>
        </xdr:cNvPr>
        <xdr:cNvPicPr>
          <a:picLocks noChangeAspect="1"/>
        </xdr:cNvPicPr>
      </xdr:nvPicPr>
      <xdr:blipFill>
        <a:blip xmlns:r="http://schemas.openxmlformats.org/officeDocument/2006/relationships" r:embed="rId2"/>
        <a:srcRect/>
        <a:stretch>
          <a:fillRect/>
        </a:stretch>
      </xdr:blipFill>
      <xdr:spPr>
        <a:xfrm>
          <a:off x="6276975" y="35880675"/>
          <a:ext cx="156636" cy="134105"/>
        </a:xfrm>
        <a:prstGeom prst="rect">
          <a:avLst/>
        </a:prstGeom>
        <a:noFill/>
        <a:ln cap="flat">
          <a:noFill/>
        </a:ln>
      </xdr:spPr>
    </xdr:pic>
    <xdr:clientData/>
  </xdr:oneCellAnchor>
  <xdr:oneCellAnchor>
    <xdr:from>
      <xdr:col>13</xdr:col>
      <xdr:colOff>0</xdr:colOff>
      <xdr:row>773</xdr:row>
      <xdr:rowOff>19050</xdr:rowOff>
    </xdr:from>
    <xdr:ext cx="156636" cy="134105"/>
    <xdr:pic>
      <xdr:nvPicPr>
        <xdr:cNvPr id="100" name="Picture 1">
          <a:extLst>
            <a:ext uri="{FF2B5EF4-FFF2-40B4-BE49-F238E27FC236}">
              <a16:creationId xmlns:a16="http://schemas.microsoft.com/office/drawing/2014/main" id="{F05AF6DB-B4BB-476D-A682-B7608AE0F9DD}"/>
            </a:ext>
          </a:extLst>
        </xdr:cNvPr>
        <xdr:cNvPicPr>
          <a:picLocks noChangeAspect="1"/>
        </xdr:cNvPicPr>
      </xdr:nvPicPr>
      <xdr:blipFill>
        <a:blip xmlns:r="http://schemas.openxmlformats.org/officeDocument/2006/relationships" r:embed="rId2"/>
        <a:srcRect/>
        <a:stretch>
          <a:fillRect/>
        </a:stretch>
      </xdr:blipFill>
      <xdr:spPr>
        <a:xfrm>
          <a:off x="6276975" y="36461700"/>
          <a:ext cx="156636" cy="134105"/>
        </a:xfrm>
        <a:prstGeom prst="rect">
          <a:avLst/>
        </a:prstGeom>
        <a:noFill/>
        <a:ln cap="flat">
          <a:noFill/>
        </a:ln>
      </xdr:spPr>
    </xdr:pic>
    <xdr:clientData/>
  </xdr:oneCellAnchor>
  <xdr:oneCellAnchor>
    <xdr:from>
      <xdr:col>13</xdr:col>
      <xdr:colOff>0</xdr:colOff>
      <xdr:row>783</xdr:row>
      <xdr:rowOff>9525</xdr:rowOff>
    </xdr:from>
    <xdr:ext cx="156636" cy="134105"/>
    <xdr:pic>
      <xdr:nvPicPr>
        <xdr:cNvPr id="101" name="Picture 1">
          <a:extLst>
            <a:ext uri="{FF2B5EF4-FFF2-40B4-BE49-F238E27FC236}">
              <a16:creationId xmlns:a16="http://schemas.microsoft.com/office/drawing/2014/main" id="{2C4DC331-7366-4CAD-9A83-55EBD6254245}"/>
            </a:ext>
          </a:extLst>
        </xdr:cNvPr>
        <xdr:cNvPicPr>
          <a:picLocks noChangeAspect="1"/>
        </xdr:cNvPicPr>
      </xdr:nvPicPr>
      <xdr:blipFill>
        <a:blip xmlns:r="http://schemas.openxmlformats.org/officeDocument/2006/relationships" r:embed="rId2"/>
        <a:srcRect/>
        <a:stretch>
          <a:fillRect/>
        </a:stretch>
      </xdr:blipFill>
      <xdr:spPr>
        <a:xfrm>
          <a:off x="6019800" y="36890325"/>
          <a:ext cx="156636" cy="134105"/>
        </a:xfrm>
        <a:prstGeom prst="rect">
          <a:avLst/>
        </a:prstGeom>
        <a:noFill/>
        <a:ln cap="flat">
          <a:noFill/>
        </a:ln>
      </xdr:spPr>
    </xdr:pic>
    <xdr:clientData/>
  </xdr:oneCellAnchor>
  <xdr:oneCellAnchor>
    <xdr:from>
      <xdr:col>9</xdr:col>
      <xdr:colOff>843</xdr:colOff>
      <xdr:row>90</xdr:row>
      <xdr:rowOff>4330</xdr:rowOff>
    </xdr:from>
    <xdr:ext cx="230136" cy="134279"/>
    <xdr:pic>
      <xdr:nvPicPr>
        <xdr:cNvPr id="104" name="Picture 40" descr="UK2.jpg">
          <a:extLst>
            <a:ext uri="{FF2B5EF4-FFF2-40B4-BE49-F238E27FC236}">
              <a16:creationId xmlns:a16="http://schemas.microsoft.com/office/drawing/2014/main" id="{9A209E29-FC78-479B-BF65-C99AE73B790B}"/>
            </a:ext>
          </a:extLst>
        </xdr:cNvPr>
        <xdr:cNvPicPr>
          <a:picLocks noChangeAspect="1"/>
        </xdr:cNvPicPr>
      </xdr:nvPicPr>
      <xdr:blipFill>
        <a:blip xmlns:r="http://schemas.openxmlformats.org/officeDocument/2006/relationships" r:embed="rId1"/>
        <a:srcRect/>
        <a:stretch>
          <a:fillRect/>
        </a:stretch>
      </xdr:blipFill>
      <xdr:spPr>
        <a:xfrm>
          <a:off x="5170320" y="11442989"/>
          <a:ext cx="230136" cy="134279"/>
        </a:xfrm>
        <a:prstGeom prst="rect">
          <a:avLst/>
        </a:prstGeom>
        <a:noFill/>
        <a:ln cap="flat">
          <a:noFill/>
        </a:ln>
      </xdr:spPr>
    </xdr:pic>
    <xdr:clientData/>
  </xdr:oneCellAnchor>
  <xdr:oneCellAnchor>
    <xdr:from>
      <xdr:col>8</xdr:col>
      <xdr:colOff>286593</xdr:colOff>
      <xdr:row>92</xdr:row>
      <xdr:rowOff>0</xdr:rowOff>
    </xdr:from>
    <xdr:ext cx="230136" cy="134279"/>
    <xdr:pic>
      <xdr:nvPicPr>
        <xdr:cNvPr id="105" name="Picture 40" descr="UK2.jpg">
          <a:extLst>
            <a:ext uri="{FF2B5EF4-FFF2-40B4-BE49-F238E27FC236}">
              <a16:creationId xmlns:a16="http://schemas.microsoft.com/office/drawing/2014/main" id="{69ADA234-6A4F-4022-86C8-A8CB8B49A0A6}"/>
            </a:ext>
          </a:extLst>
        </xdr:cNvPr>
        <xdr:cNvPicPr>
          <a:picLocks noChangeAspect="1"/>
        </xdr:cNvPicPr>
      </xdr:nvPicPr>
      <xdr:blipFill>
        <a:blip xmlns:r="http://schemas.openxmlformats.org/officeDocument/2006/relationships" r:embed="rId1"/>
        <a:srcRect/>
        <a:stretch>
          <a:fillRect/>
        </a:stretch>
      </xdr:blipFill>
      <xdr:spPr>
        <a:xfrm>
          <a:off x="5171316" y="11059115"/>
          <a:ext cx="230136" cy="134279"/>
        </a:xfrm>
        <a:prstGeom prst="rect">
          <a:avLst/>
        </a:prstGeom>
        <a:noFill/>
        <a:ln cap="flat">
          <a:noFill/>
        </a:ln>
      </xdr:spPr>
    </xdr:pic>
    <xdr:clientData/>
  </xdr:oneCellAnchor>
  <xdr:oneCellAnchor>
    <xdr:from>
      <xdr:col>8</xdr:col>
      <xdr:colOff>286593</xdr:colOff>
      <xdr:row>225</xdr:row>
      <xdr:rowOff>0</xdr:rowOff>
    </xdr:from>
    <xdr:ext cx="230136" cy="134279"/>
    <xdr:pic>
      <xdr:nvPicPr>
        <xdr:cNvPr id="107" name="Picture 40" descr="UK2.jpg">
          <a:extLst>
            <a:ext uri="{FF2B5EF4-FFF2-40B4-BE49-F238E27FC236}">
              <a16:creationId xmlns:a16="http://schemas.microsoft.com/office/drawing/2014/main" id="{B730E8D4-444B-49D9-A1BE-CD29FDACCEEB}"/>
            </a:ext>
          </a:extLst>
        </xdr:cNvPr>
        <xdr:cNvPicPr>
          <a:picLocks noChangeAspect="1"/>
        </xdr:cNvPicPr>
      </xdr:nvPicPr>
      <xdr:blipFill>
        <a:blip xmlns:r="http://schemas.openxmlformats.org/officeDocument/2006/relationships" r:embed="rId1"/>
        <a:srcRect/>
        <a:stretch>
          <a:fillRect/>
        </a:stretch>
      </xdr:blipFill>
      <xdr:spPr>
        <a:xfrm>
          <a:off x="5171316" y="14793252"/>
          <a:ext cx="230136" cy="134279"/>
        </a:xfrm>
        <a:prstGeom prst="rect">
          <a:avLst/>
        </a:prstGeom>
        <a:noFill/>
        <a:ln cap="flat">
          <a:noFill/>
        </a:ln>
      </xdr:spPr>
    </xdr:pic>
    <xdr:clientData/>
  </xdr:oneCellAnchor>
  <xdr:oneCellAnchor>
    <xdr:from>
      <xdr:col>8</xdr:col>
      <xdr:colOff>286593</xdr:colOff>
      <xdr:row>260</xdr:row>
      <xdr:rowOff>0</xdr:rowOff>
    </xdr:from>
    <xdr:ext cx="230136" cy="134279"/>
    <xdr:pic>
      <xdr:nvPicPr>
        <xdr:cNvPr id="108" name="Picture 40" descr="UK2.jpg">
          <a:extLst>
            <a:ext uri="{FF2B5EF4-FFF2-40B4-BE49-F238E27FC236}">
              <a16:creationId xmlns:a16="http://schemas.microsoft.com/office/drawing/2014/main" id="{307DB5E9-09E3-4FB2-90C8-FB2D2BB52549}"/>
            </a:ext>
          </a:extLst>
        </xdr:cNvPr>
        <xdr:cNvPicPr>
          <a:picLocks noChangeAspect="1"/>
        </xdr:cNvPicPr>
      </xdr:nvPicPr>
      <xdr:blipFill>
        <a:blip xmlns:r="http://schemas.openxmlformats.org/officeDocument/2006/relationships" r:embed="rId1"/>
        <a:srcRect/>
        <a:stretch>
          <a:fillRect/>
        </a:stretch>
      </xdr:blipFill>
      <xdr:spPr>
        <a:xfrm>
          <a:off x="5171316" y="17060708"/>
          <a:ext cx="230136" cy="134279"/>
        </a:xfrm>
        <a:prstGeom prst="rect">
          <a:avLst/>
        </a:prstGeom>
        <a:noFill/>
        <a:ln cap="flat">
          <a:noFill/>
        </a:ln>
      </xdr:spPr>
    </xdr:pic>
    <xdr:clientData/>
  </xdr:oneCellAnchor>
  <xdr:oneCellAnchor>
    <xdr:from>
      <xdr:col>8</xdr:col>
      <xdr:colOff>286593</xdr:colOff>
      <xdr:row>257</xdr:row>
      <xdr:rowOff>0</xdr:rowOff>
    </xdr:from>
    <xdr:ext cx="230136" cy="134279"/>
    <xdr:pic>
      <xdr:nvPicPr>
        <xdr:cNvPr id="109" name="Picture 40" descr="UK2.jpg">
          <a:extLst>
            <a:ext uri="{FF2B5EF4-FFF2-40B4-BE49-F238E27FC236}">
              <a16:creationId xmlns:a16="http://schemas.microsoft.com/office/drawing/2014/main" id="{49EEF6EF-B843-400C-B64D-01444A4E151E}"/>
            </a:ext>
          </a:extLst>
        </xdr:cNvPr>
        <xdr:cNvPicPr>
          <a:picLocks noChangeAspect="1"/>
        </xdr:cNvPicPr>
      </xdr:nvPicPr>
      <xdr:blipFill>
        <a:blip xmlns:r="http://schemas.openxmlformats.org/officeDocument/2006/relationships" r:embed="rId1"/>
        <a:srcRect/>
        <a:stretch>
          <a:fillRect/>
        </a:stretch>
      </xdr:blipFill>
      <xdr:spPr>
        <a:xfrm>
          <a:off x="5171316" y="16765686"/>
          <a:ext cx="230136" cy="134279"/>
        </a:xfrm>
        <a:prstGeom prst="rect">
          <a:avLst/>
        </a:prstGeom>
        <a:noFill/>
        <a:ln cap="flat">
          <a:noFill/>
        </a:ln>
      </xdr:spPr>
    </xdr:pic>
    <xdr:clientData/>
  </xdr:oneCellAnchor>
  <xdr:oneCellAnchor>
    <xdr:from>
      <xdr:col>8</xdr:col>
      <xdr:colOff>286593</xdr:colOff>
      <xdr:row>226</xdr:row>
      <xdr:rowOff>0</xdr:rowOff>
    </xdr:from>
    <xdr:ext cx="230136" cy="134279"/>
    <xdr:pic>
      <xdr:nvPicPr>
        <xdr:cNvPr id="110" name="Picture 40" descr="UK2.jpg">
          <a:extLst>
            <a:ext uri="{FF2B5EF4-FFF2-40B4-BE49-F238E27FC236}">
              <a16:creationId xmlns:a16="http://schemas.microsoft.com/office/drawing/2014/main" id="{4B778949-98CB-4771-A76E-34F5CEC04FEA}"/>
            </a:ext>
          </a:extLst>
        </xdr:cNvPr>
        <xdr:cNvPicPr>
          <a:picLocks noChangeAspect="1"/>
        </xdr:cNvPicPr>
      </xdr:nvPicPr>
      <xdr:blipFill>
        <a:blip xmlns:r="http://schemas.openxmlformats.org/officeDocument/2006/relationships" r:embed="rId1"/>
        <a:srcRect/>
        <a:stretch>
          <a:fillRect/>
        </a:stretch>
      </xdr:blipFill>
      <xdr:spPr>
        <a:xfrm>
          <a:off x="5172918" y="14992350"/>
          <a:ext cx="230136" cy="134279"/>
        </a:xfrm>
        <a:prstGeom prst="rect">
          <a:avLst/>
        </a:prstGeom>
        <a:noFill/>
        <a:ln cap="flat">
          <a:noFill/>
        </a:ln>
      </xdr:spPr>
    </xdr:pic>
    <xdr:clientData/>
  </xdr:oneCellAnchor>
  <xdr:oneCellAnchor>
    <xdr:from>
      <xdr:col>8</xdr:col>
      <xdr:colOff>286593</xdr:colOff>
      <xdr:row>227</xdr:row>
      <xdr:rowOff>0</xdr:rowOff>
    </xdr:from>
    <xdr:ext cx="230136" cy="134279"/>
    <xdr:pic>
      <xdr:nvPicPr>
        <xdr:cNvPr id="111" name="Picture 40" descr="UK2.jpg">
          <a:extLst>
            <a:ext uri="{FF2B5EF4-FFF2-40B4-BE49-F238E27FC236}">
              <a16:creationId xmlns:a16="http://schemas.microsoft.com/office/drawing/2014/main" id="{08A5DD90-2D4A-4E6B-B1E2-EEF1768827AA}"/>
            </a:ext>
          </a:extLst>
        </xdr:cNvPr>
        <xdr:cNvPicPr>
          <a:picLocks noChangeAspect="1"/>
        </xdr:cNvPicPr>
      </xdr:nvPicPr>
      <xdr:blipFill>
        <a:blip xmlns:r="http://schemas.openxmlformats.org/officeDocument/2006/relationships" r:embed="rId1"/>
        <a:srcRect/>
        <a:stretch>
          <a:fillRect/>
        </a:stretch>
      </xdr:blipFill>
      <xdr:spPr>
        <a:xfrm>
          <a:off x="5172918" y="14992350"/>
          <a:ext cx="230136" cy="134279"/>
        </a:xfrm>
        <a:prstGeom prst="rect">
          <a:avLst/>
        </a:prstGeom>
        <a:noFill/>
        <a:ln cap="flat">
          <a:noFill/>
        </a:ln>
      </xdr:spPr>
    </xdr:pic>
    <xdr:clientData/>
  </xdr:oneCellAnchor>
  <xdr:oneCellAnchor>
    <xdr:from>
      <xdr:col>8</xdr:col>
      <xdr:colOff>286593</xdr:colOff>
      <xdr:row>228</xdr:row>
      <xdr:rowOff>0</xdr:rowOff>
    </xdr:from>
    <xdr:ext cx="230136" cy="134279"/>
    <xdr:pic>
      <xdr:nvPicPr>
        <xdr:cNvPr id="112" name="Picture 40" descr="UK2.jpg">
          <a:extLst>
            <a:ext uri="{FF2B5EF4-FFF2-40B4-BE49-F238E27FC236}">
              <a16:creationId xmlns:a16="http://schemas.microsoft.com/office/drawing/2014/main" id="{6FB615DF-F301-45BE-B81E-AA8DB7C6F3A2}"/>
            </a:ext>
          </a:extLst>
        </xdr:cNvPr>
        <xdr:cNvPicPr>
          <a:picLocks noChangeAspect="1"/>
        </xdr:cNvPicPr>
      </xdr:nvPicPr>
      <xdr:blipFill>
        <a:blip xmlns:r="http://schemas.openxmlformats.org/officeDocument/2006/relationships" r:embed="rId1"/>
        <a:srcRect/>
        <a:stretch>
          <a:fillRect/>
        </a:stretch>
      </xdr:blipFill>
      <xdr:spPr>
        <a:xfrm>
          <a:off x="5172918" y="14992350"/>
          <a:ext cx="230136" cy="134279"/>
        </a:xfrm>
        <a:prstGeom prst="rect">
          <a:avLst/>
        </a:prstGeom>
        <a:noFill/>
        <a:ln cap="flat">
          <a:noFill/>
        </a:ln>
      </xdr:spPr>
    </xdr:pic>
    <xdr:clientData/>
  </xdr:oneCellAnchor>
  <xdr:oneCellAnchor>
    <xdr:from>
      <xdr:col>13</xdr:col>
      <xdr:colOff>0</xdr:colOff>
      <xdr:row>191</xdr:row>
      <xdr:rowOff>0</xdr:rowOff>
    </xdr:from>
    <xdr:ext cx="156636" cy="134105"/>
    <xdr:pic>
      <xdr:nvPicPr>
        <xdr:cNvPr id="115" name="Picture 1">
          <a:extLst>
            <a:ext uri="{FF2B5EF4-FFF2-40B4-BE49-F238E27FC236}">
              <a16:creationId xmlns:a16="http://schemas.microsoft.com/office/drawing/2014/main" id="{9FFAA1FC-4A15-426A-B42E-F3F768C372A9}"/>
            </a:ext>
          </a:extLst>
        </xdr:cNvPr>
        <xdr:cNvPicPr>
          <a:picLocks noChangeAspect="1"/>
        </xdr:cNvPicPr>
      </xdr:nvPicPr>
      <xdr:blipFill>
        <a:blip xmlns:r="http://schemas.openxmlformats.org/officeDocument/2006/relationships" r:embed="rId2"/>
        <a:srcRect/>
        <a:stretch>
          <a:fillRect/>
        </a:stretch>
      </xdr:blipFill>
      <xdr:spPr>
        <a:xfrm>
          <a:off x="5991225" y="16278225"/>
          <a:ext cx="156636" cy="134105"/>
        </a:xfrm>
        <a:prstGeom prst="rect">
          <a:avLst/>
        </a:prstGeom>
        <a:noFill/>
        <a:ln cap="flat">
          <a:noFill/>
        </a:ln>
      </xdr:spPr>
    </xdr:pic>
    <xdr:clientData/>
  </xdr:oneCellAnchor>
  <xdr:oneCellAnchor>
    <xdr:from>
      <xdr:col>13</xdr:col>
      <xdr:colOff>0</xdr:colOff>
      <xdr:row>116</xdr:row>
      <xdr:rowOff>0</xdr:rowOff>
    </xdr:from>
    <xdr:ext cx="156636" cy="134105"/>
    <xdr:pic>
      <xdr:nvPicPr>
        <xdr:cNvPr id="130" name="Picture 1">
          <a:extLst>
            <a:ext uri="{FF2B5EF4-FFF2-40B4-BE49-F238E27FC236}">
              <a16:creationId xmlns:a16="http://schemas.microsoft.com/office/drawing/2014/main" id="{304A7FA7-C4E3-429E-87F9-273D592646DD}"/>
            </a:ext>
          </a:extLst>
        </xdr:cNvPr>
        <xdr:cNvPicPr>
          <a:picLocks noChangeAspect="1"/>
        </xdr:cNvPicPr>
      </xdr:nvPicPr>
      <xdr:blipFill>
        <a:blip xmlns:r="http://schemas.openxmlformats.org/officeDocument/2006/relationships" r:embed="rId2"/>
        <a:srcRect/>
        <a:stretch>
          <a:fillRect/>
        </a:stretch>
      </xdr:blipFill>
      <xdr:spPr>
        <a:xfrm>
          <a:off x="6012656" y="13913304"/>
          <a:ext cx="156636" cy="134105"/>
        </a:xfrm>
        <a:prstGeom prst="rect">
          <a:avLst/>
        </a:prstGeom>
        <a:noFill/>
        <a:ln cap="flat">
          <a:noFill/>
        </a:ln>
      </xdr:spPr>
    </xdr:pic>
    <xdr:clientData/>
  </xdr:oneCellAnchor>
  <xdr:oneCellAnchor>
    <xdr:from>
      <xdr:col>13</xdr:col>
      <xdr:colOff>0</xdr:colOff>
      <xdr:row>185</xdr:row>
      <xdr:rowOff>0</xdr:rowOff>
    </xdr:from>
    <xdr:ext cx="156636" cy="134105"/>
    <xdr:pic>
      <xdr:nvPicPr>
        <xdr:cNvPr id="134" name="Picture 1">
          <a:extLst>
            <a:ext uri="{FF2B5EF4-FFF2-40B4-BE49-F238E27FC236}">
              <a16:creationId xmlns:a16="http://schemas.microsoft.com/office/drawing/2014/main" id="{9EE02A9E-6599-4BF5-87B9-C30CA26485FB}"/>
            </a:ext>
          </a:extLst>
        </xdr:cNvPr>
        <xdr:cNvPicPr>
          <a:picLocks noChangeAspect="1"/>
        </xdr:cNvPicPr>
      </xdr:nvPicPr>
      <xdr:blipFill>
        <a:blip xmlns:r="http://schemas.openxmlformats.org/officeDocument/2006/relationships" r:embed="rId2"/>
        <a:srcRect/>
        <a:stretch>
          <a:fillRect/>
        </a:stretch>
      </xdr:blipFill>
      <xdr:spPr>
        <a:xfrm>
          <a:off x="5997921" y="15334307"/>
          <a:ext cx="156636" cy="134105"/>
        </a:xfrm>
        <a:prstGeom prst="rect">
          <a:avLst/>
        </a:prstGeom>
        <a:noFill/>
        <a:ln cap="flat">
          <a:noFill/>
        </a:ln>
      </xdr:spPr>
    </xdr:pic>
    <xdr:clientData/>
  </xdr:oneCellAnchor>
  <xdr:oneCellAnchor>
    <xdr:from>
      <xdr:col>9</xdr:col>
      <xdr:colOff>0</xdr:colOff>
      <xdr:row>280</xdr:row>
      <xdr:rowOff>0</xdr:rowOff>
    </xdr:from>
    <xdr:ext cx="230136" cy="134279"/>
    <xdr:pic>
      <xdr:nvPicPr>
        <xdr:cNvPr id="96" name="Picture 40" descr="UK2.jpg">
          <a:extLst>
            <a:ext uri="{FF2B5EF4-FFF2-40B4-BE49-F238E27FC236}">
              <a16:creationId xmlns:a16="http://schemas.microsoft.com/office/drawing/2014/main" id="{985F693A-AEB4-4A98-B084-2BC05F92BA51}"/>
            </a:ext>
          </a:extLst>
        </xdr:cNvPr>
        <xdr:cNvPicPr>
          <a:picLocks noChangeAspect="1"/>
        </xdr:cNvPicPr>
      </xdr:nvPicPr>
      <xdr:blipFill>
        <a:blip xmlns:r="http://schemas.openxmlformats.org/officeDocument/2006/relationships" r:embed="rId1"/>
        <a:srcRect/>
        <a:stretch>
          <a:fillRect/>
        </a:stretch>
      </xdr:blipFill>
      <xdr:spPr>
        <a:xfrm>
          <a:off x="5179219" y="19781384"/>
          <a:ext cx="230136" cy="134279"/>
        </a:xfrm>
        <a:prstGeom prst="rect">
          <a:avLst/>
        </a:prstGeom>
        <a:noFill/>
        <a:ln cap="flat">
          <a:noFill/>
        </a:ln>
      </xdr:spPr>
    </xdr:pic>
    <xdr:clientData/>
  </xdr:oneCellAnchor>
  <xdr:oneCellAnchor>
    <xdr:from>
      <xdr:col>13</xdr:col>
      <xdr:colOff>0</xdr:colOff>
      <xdr:row>403</xdr:row>
      <xdr:rowOff>144575</xdr:rowOff>
    </xdr:from>
    <xdr:ext cx="156636" cy="134105"/>
    <xdr:pic>
      <xdr:nvPicPr>
        <xdr:cNvPr id="98" name="Picture 1">
          <a:extLst>
            <a:ext uri="{FF2B5EF4-FFF2-40B4-BE49-F238E27FC236}">
              <a16:creationId xmlns:a16="http://schemas.microsoft.com/office/drawing/2014/main" id="{DAD64D89-D7AE-438B-ADE0-9F99D69E27E5}"/>
            </a:ext>
          </a:extLst>
        </xdr:cNvPr>
        <xdr:cNvPicPr>
          <a:picLocks noChangeAspect="1"/>
        </xdr:cNvPicPr>
      </xdr:nvPicPr>
      <xdr:blipFill>
        <a:blip xmlns:r="http://schemas.openxmlformats.org/officeDocument/2006/relationships" r:embed="rId2"/>
        <a:srcRect/>
        <a:stretch>
          <a:fillRect/>
        </a:stretch>
      </xdr:blipFill>
      <xdr:spPr>
        <a:xfrm>
          <a:off x="6004152" y="24297254"/>
          <a:ext cx="156636" cy="134105"/>
        </a:xfrm>
        <a:prstGeom prst="rect">
          <a:avLst/>
        </a:prstGeom>
        <a:noFill/>
        <a:ln cap="flat">
          <a:noFill/>
        </a:ln>
      </xdr:spPr>
    </xdr:pic>
    <xdr:clientData/>
  </xdr:oneCellAnchor>
  <xdr:oneCellAnchor>
    <xdr:from>
      <xdr:col>9</xdr:col>
      <xdr:colOff>8504</xdr:colOff>
      <xdr:row>427</xdr:row>
      <xdr:rowOff>8505</xdr:rowOff>
    </xdr:from>
    <xdr:ext cx="230136" cy="134279"/>
    <xdr:pic>
      <xdr:nvPicPr>
        <xdr:cNvPr id="114" name="Picture 40" descr="UK2.jpg">
          <a:extLst>
            <a:ext uri="{FF2B5EF4-FFF2-40B4-BE49-F238E27FC236}">
              <a16:creationId xmlns:a16="http://schemas.microsoft.com/office/drawing/2014/main" id="{C4634ABF-C1C8-4C3D-8717-B335B2967347}"/>
            </a:ext>
          </a:extLst>
        </xdr:cNvPr>
        <xdr:cNvPicPr>
          <a:picLocks noChangeAspect="1"/>
        </xdr:cNvPicPr>
      </xdr:nvPicPr>
      <xdr:blipFill>
        <a:blip xmlns:r="http://schemas.openxmlformats.org/officeDocument/2006/relationships" r:embed="rId1"/>
        <a:srcRect/>
        <a:stretch>
          <a:fillRect/>
        </a:stretch>
      </xdr:blipFill>
      <xdr:spPr>
        <a:xfrm>
          <a:off x="5187723" y="25377322"/>
          <a:ext cx="230136" cy="134279"/>
        </a:xfrm>
        <a:prstGeom prst="rect">
          <a:avLst/>
        </a:prstGeom>
        <a:noFill/>
        <a:ln cap="flat">
          <a:noFill/>
        </a:ln>
      </xdr:spPr>
    </xdr:pic>
    <xdr:clientData/>
  </xdr:oneCellAnchor>
  <xdr:oneCellAnchor>
    <xdr:from>
      <xdr:col>9</xdr:col>
      <xdr:colOff>0</xdr:colOff>
      <xdr:row>538</xdr:row>
      <xdr:rowOff>144575</xdr:rowOff>
    </xdr:from>
    <xdr:ext cx="230136" cy="134279"/>
    <xdr:pic>
      <xdr:nvPicPr>
        <xdr:cNvPr id="131" name="Picture 40" descr="UK2.jpg">
          <a:extLst>
            <a:ext uri="{FF2B5EF4-FFF2-40B4-BE49-F238E27FC236}">
              <a16:creationId xmlns:a16="http://schemas.microsoft.com/office/drawing/2014/main" id="{01F31E6B-1B21-418F-8EE6-0EB662025493}"/>
            </a:ext>
          </a:extLst>
        </xdr:cNvPr>
        <xdr:cNvPicPr>
          <a:picLocks noChangeAspect="1"/>
        </xdr:cNvPicPr>
      </xdr:nvPicPr>
      <xdr:blipFill>
        <a:blip xmlns:r="http://schemas.openxmlformats.org/officeDocument/2006/relationships" r:embed="rId1"/>
        <a:srcRect/>
        <a:stretch>
          <a:fillRect/>
        </a:stretch>
      </xdr:blipFill>
      <xdr:spPr>
        <a:xfrm>
          <a:off x="5179219" y="31083816"/>
          <a:ext cx="230136" cy="134279"/>
        </a:xfrm>
        <a:prstGeom prst="rect">
          <a:avLst/>
        </a:prstGeom>
        <a:noFill/>
        <a:ln cap="flat">
          <a:noFill/>
        </a:ln>
      </xdr:spPr>
    </xdr:pic>
    <xdr:clientData/>
  </xdr:oneCellAnchor>
  <xdr:oneCellAnchor>
    <xdr:from>
      <xdr:col>13</xdr:col>
      <xdr:colOff>0</xdr:colOff>
      <xdr:row>81</xdr:row>
      <xdr:rowOff>0</xdr:rowOff>
    </xdr:from>
    <xdr:ext cx="156636" cy="134105"/>
    <xdr:pic>
      <xdr:nvPicPr>
        <xdr:cNvPr id="133" name="Picture 1">
          <a:extLst>
            <a:ext uri="{FF2B5EF4-FFF2-40B4-BE49-F238E27FC236}">
              <a16:creationId xmlns:a16="http://schemas.microsoft.com/office/drawing/2014/main" id="{94DC9A2D-1B34-4EB9-B1BA-5BBF0A3BCED4}"/>
            </a:ext>
          </a:extLst>
        </xdr:cNvPr>
        <xdr:cNvPicPr>
          <a:picLocks noChangeAspect="1"/>
        </xdr:cNvPicPr>
      </xdr:nvPicPr>
      <xdr:blipFill>
        <a:blip xmlns:r="http://schemas.openxmlformats.org/officeDocument/2006/relationships" r:embed="rId2"/>
        <a:srcRect/>
        <a:stretch>
          <a:fillRect/>
        </a:stretch>
      </xdr:blipFill>
      <xdr:spPr>
        <a:xfrm>
          <a:off x="6004152" y="10639085"/>
          <a:ext cx="156636" cy="134105"/>
        </a:xfrm>
        <a:prstGeom prst="rect">
          <a:avLst/>
        </a:prstGeom>
        <a:noFill/>
        <a:ln cap="flat">
          <a:noFill/>
        </a:ln>
      </xdr:spPr>
    </xdr:pic>
    <xdr:clientData/>
  </xdr:oneCellAnchor>
  <xdr:oneCellAnchor>
    <xdr:from>
      <xdr:col>13</xdr:col>
      <xdr:colOff>0</xdr:colOff>
      <xdr:row>401</xdr:row>
      <xdr:rowOff>0</xdr:rowOff>
    </xdr:from>
    <xdr:ext cx="156636" cy="134105"/>
    <xdr:pic>
      <xdr:nvPicPr>
        <xdr:cNvPr id="138" name="Picture 1">
          <a:extLst>
            <a:ext uri="{FF2B5EF4-FFF2-40B4-BE49-F238E27FC236}">
              <a16:creationId xmlns:a16="http://schemas.microsoft.com/office/drawing/2014/main" id="{A3EC8945-3B53-455E-81CE-F8AE4C47EC31}"/>
            </a:ext>
          </a:extLst>
        </xdr:cNvPr>
        <xdr:cNvPicPr>
          <a:picLocks noChangeAspect="1"/>
        </xdr:cNvPicPr>
      </xdr:nvPicPr>
      <xdr:blipFill>
        <a:blip xmlns:r="http://schemas.openxmlformats.org/officeDocument/2006/relationships" r:embed="rId2"/>
        <a:srcRect/>
        <a:stretch>
          <a:fillRect/>
        </a:stretch>
      </xdr:blipFill>
      <xdr:spPr>
        <a:xfrm>
          <a:off x="6004152" y="24212210"/>
          <a:ext cx="156636" cy="134105"/>
        </a:xfrm>
        <a:prstGeom prst="rect">
          <a:avLst/>
        </a:prstGeom>
        <a:noFill/>
        <a:ln cap="flat">
          <a:noFill/>
        </a:ln>
      </xdr:spPr>
    </xdr:pic>
    <xdr:clientData/>
  </xdr:oneCellAnchor>
  <xdr:oneCellAnchor>
    <xdr:from>
      <xdr:col>13</xdr:col>
      <xdr:colOff>0</xdr:colOff>
      <xdr:row>112</xdr:row>
      <xdr:rowOff>0</xdr:rowOff>
    </xdr:from>
    <xdr:ext cx="156636" cy="134105"/>
    <xdr:pic>
      <xdr:nvPicPr>
        <xdr:cNvPr id="139" name="Picture 1">
          <a:extLst>
            <a:ext uri="{FF2B5EF4-FFF2-40B4-BE49-F238E27FC236}">
              <a16:creationId xmlns:a16="http://schemas.microsoft.com/office/drawing/2014/main" id="{1B26FD84-EA74-4860-A0C4-D779E5A8866C}"/>
            </a:ext>
          </a:extLst>
        </xdr:cNvPr>
        <xdr:cNvPicPr>
          <a:picLocks noChangeAspect="1"/>
        </xdr:cNvPicPr>
      </xdr:nvPicPr>
      <xdr:blipFill>
        <a:blip xmlns:r="http://schemas.openxmlformats.org/officeDocument/2006/relationships" r:embed="rId2"/>
        <a:srcRect/>
        <a:stretch>
          <a:fillRect/>
        </a:stretch>
      </xdr:blipFill>
      <xdr:spPr>
        <a:xfrm>
          <a:off x="6004152" y="11991295"/>
          <a:ext cx="156636" cy="134105"/>
        </a:xfrm>
        <a:prstGeom prst="rect">
          <a:avLst/>
        </a:prstGeom>
        <a:noFill/>
        <a:ln cap="flat">
          <a:noFill/>
        </a:ln>
      </xdr:spPr>
    </xdr:pic>
    <xdr:clientData/>
  </xdr:oneCellAnchor>
  <xdr:oneCellAnchor>
    <xdr:from>
      <xdr:col>9</xdr:col>
      <xdr:colOff>0</xdr:colOff>
      <xdr:row>76</xdr:row>
      <xdr:rowOff>0</xdr:rowOff>
    </xdr:from>
    <xdr:ext cx="230136" cy="134279"/>
    <xdr:pic>
      <xdr:nvPicPr>
        <xdr:cNvPr id="141" name="Picture 40" descr="UK2.jpg">
          <a:extLst>
            <a:ext uri="{FF2B5EF4-FFF2-40B4-BE49-F238E27FC236}">
              <a16:creationId xmlns:a16="http://schemas.microsoft.com/office/drawing/2014/main" id="{A2601399-8FE4-4032-8AA1-418BF7E7AC0B}"/>
            </a:ext>
          </a:extLst>
        </xdr:cNvPr>
        <xdr:cNvPicPr>
          <a:picLocks noChangeAspect="1"/>
        </xdr:cNvPicPr>
      </xdr:nvPicPr>
      <xdr:blipFill>
        <a:blip xmlns:r="http://schemas.openxmlformats.org/officeDocument/2006/relationships" r:embed="rId1"/>
        <a:srcRect/>
        <a:stretch>
          <a:fillRect/>
        </a:stretch>
      </xdr:blipFill>
      <xdr:spPr>
        <a:xfrm>
          <a:off x="5179219" y="10264888"/>
          <a:ext cx="230136" cy="134279"/>
        </a:xfrm>
        <a:prstGeom prst="rect">
          <a:avLst/>
        </a:prstGeom>
        <a:noFill/>
        <a:ln cap="flat">
          <a:noFill/>
        </a:ln>
      </xdr:spPr>
    </xdr:pic>
    <xdr:clientData/>
  </xdr:oneCellAnchor>
  <xdr:oneCellAnchor>
    <xdr:from>
      <xdr:col>9</xdr:col>
      <xdr:colOff>0</xdr:colOff>
      <xdr:row>225</xdr:row>
      <xdr:rowOff>0</xdr:rowOff>
    </xdr:from>
    <xdr:ext cx="230136" cy="134279"/>
    <xdr:pic>
      <xdr:nvPicPr>
        <xdr:cNvPr id="143" name="Picture 40" descr="UK2.jpg">
          <a:extLst>
            <a:ext uri="{FF2B5EF4-FFF2-40B4-BE49-F238E27FC236}">
              <a16:creationId xmlns:a16="http://schemas.microsoft.com/office/drawing/2014/main" id="{6D0973DB-A7BF-4405-BCF5-6B236A62838E}"/>
            </a:ext>
          </a:extLst>
        </xdr:cNvPr>
        <xdr:cNvPicPr>
          <a:picLocks noChangeAspect="1"/>
        </xdr:cNvPicPr>
      </xdr:nvPicPr>
      <xdr:blipFill>
        <a:blip xmlns:r="http://schemas.openxmlformats.org/officeDocument/2006/relationships" r:embed="rId1"/>
        <a:srcRect/>
        <a:stretch>
          <a:fillRect/>
        </a:stretch>
      </xdr:blipFill>
      <xdr:spPr>
        <a:xfrm>
          <a:off x="5179219" y="15614196"/>
          <a:ext cx="230136" cy="134279"/>
        </a:xfrm>
        <a:prstGeom prst="rect">
          <a:avLst/>
        </a:prstGeom>
        <a:noFill/>
        <a:ln cap="flat">
          <a:noFill/>
        </a:ln>
      </xdr:spPr>
    </xdr:pic>
    <xdr:clientData/>
  </xdr:oneCellAnchor>
  <xdr:oneCellAnchor>
    <xdr:from>
      <xdr:col>13</xdr:col>
      <xdr:colOff>0</xdr:colOff>
      <xdr:row>321</xdr:row>
      <xdr:rowOff>0</xdr:rowOff>
    </xdr:from>
    <xdr:ext cx="156636" cy="134105"/>
    <xdr:pic>
      <xdr:nvPicPr>
        <xdr:cNvPr id="145" name="Picture 1">
          <a:extLst>
            <a:ext uri="{FF2B5EF4-FFF2-40B4-BE49-F238E27FC236}">
              <a16:creationId xmlns:a16="http://schemas.microsoft.com/office/drawing/2014/main" id="{37A8D6B0-7D5D-410E-9C81-820F098766CD}"/>
            </a:ext>
          </a:extLst>
        </xdr:cNvPr>
        <xdr:cNvPicPr>
          <a:picLocks noChangeAspect="1"/>
        </xdr:cNvPicPr>
      </xdr:nvPicPr>
      <xdr:blipFill>
        <a:blip xmlns:r="http://schemas.openxmlformats.org/officeDocument/2006/relationships" r:embed="rId2"/>
        <a:srcRect/>
        <a:stretch>
          <a:fillRect/>
        </a:stretch>
      </xdr:blipFill>
      <xdr:spPr>
        <a:xfrm>
          <a:off x="6004152" y="21601339"/>
          <a:ext cx="156636" cy="134105"/>
        </a:xfrm>
        <a:prstGeom prst="rect">
          <a:avLst/>
        </a:prstGeom>
        <a:noFill/>
        <a:ln cap="flat">
          <a:noFill/>
        </a:ln>
      </xdr:spPr>
    </xdr:pic>
    <xdr:clientData/>
  </xdr:oneCellAnchor>
  <xdr:oneCellAnchor>
    <xdr:from>
      <xdr:col>9</xdr:col>
      <xdr:colOff>7824</xdr:colOff>
      <xdr:row>469</xdr:row>
      <xdr:rowOff>143896</xdr:rowOff>
    </xdr:from>
    <xdr:ext cx="230136" cy="134279"/>
    <xdr:pic>
      <xdr:nvPicPr>
        <xdr:cNvPr id="146" name="Picture 40" descr="UK2.jpg">
          <a:extLst>
            <a:ext uri="{FF2B5EF4-FFF2-40B4-BE49-F238E27FC236}">
              <a16:creationId xmlns:a16="http://schemas.microsoft.com/office/drawing/2014/main" id="{25FA700F-8AED-4B0A-A73D-E9299EE3E17A}"/>
            </a:ext>
          </a:extLst>
        </xdr:cNvPr>
        <xdr:cNvPicPr>
          <a:picLocks noChangeAspect="1"/>
        </xdr:cNvPicPr>
      </xdr:nvPicPr>
      <xdr:blipFill>
        <a:blip xmlns:r="http://schemas.openxmlformats.org/officeDocument/2006/relationships" r:embed="rId1"/>
        <a:srcRect/>
        <a:stretch>
          <a:fillRect/>
        </a:stretch>
      </xdr:blipFill>
      <xdr:spPr>
        <a:xfrm>
          <a:off x="5187043" y="27239119"/>
          <a:ext cx="230136" cy="134279"/>
        </a:xfrm>
        <a:prstGeom prst="rect">
          <a:avLst/>
        </a:prstGeom>
        <a:noFill/>
        <a:ln cap="flat">
          <a:noFill/>
        </a:ln>
      </xdr:spPr>
    </xdr:pic>
    <xdr:clientData/>
  </xdr:oneCellAnchor>
  <xdr:oneCellAnchor>
    <xdr:from>
      <xdr:col>9</xdr:col>
      <xdr:colOff>0</xdr:colOff>
      <xdr:row>542</xdr:row>
      <xdr:rowOff>8504</xdr:rowOff>
    </xdr:from>
    <xdr:ext cx="230136" cy="134279"/>
    <xdr:pic>
      <xdr:nvPicPr>
        <xdr:cNvPr id="151" name="Picture 40" descr="UK2.jpg">
          <a:extLst>
            <a:ext uri="{FF2B5EF4-FFF2-40B4-BE49-F238E27FC236}">
              <a16:creationId xmlns:a16="http://schemas.microsoft.com/office/drawing/2014/main" id="{C2175525-199E-4D73-A113-5D8CA15A0CFE}"/>
            </a:ext>
          </a:extLst>
        </xdr:cNvPr>
        <xdr:cNvPicPr>
          <a:picLocks noChangeAspect="1"/>
        </xdr:cNvPicPr>
      </xdr:nvPicPr>
      <xdr:blipFill>
        <a:blip xmlns:r="http://schemas.openxmlformats.org/officeDocument/2006/relationships" r:embed="rId1"/>
        <a:srcRect/>
        <a:stretch>
          <a:fillRect/>
        </a:stretch>
      </xdr:blipFill>
      <xdr:spPr>
        <a:xfrm>
          <a:off x="5179219" y="32903772"/>
          <a:ext cx="230136" cy="134279"/>
        </a:xfrm>
        <a:prstGeom prst="rect">
          <a:avLst/>
        </a:prstGeom>
        <a:noFill/>
        <a:ln cap="flat">
          <a:noFill/>
        </a:ln>
      </xdr:spPr>
    </xdr:pic>
    <xdr:clientData/>
  </xdr:oneCellAnchor>
  <xdr:oneCellAnchor>
    <xdr:from>
      <xdr:col>12</xdr:col>
      <xdr:colOff>237445</xdr:colOff>
      <xdr:row>522</xdr:row>
      <xdr:rowOff>7824</xdr:rowOff>
    </xdr:from>
    <xdr:ext cx="156636" cy="134105"/>
    <xdr:pic>
      <xdr:nvPicPr>
        <xdr:cNvPr id="155" name="Picture 1">
          <a:extLst>
            <a:ext uri="{FF2B5EF4-FFF2-40B4-BE49-F238E27FC236}">
              <a16:creationId xmlns:a16="http://schemas.microsoft.com/office/drawing/2014/main" id="{6A947469-9A7D-4F55-819F-7DEF1946B268}"/>
            </a:ext>
          </a:extLst>
        </xdr:cNvPr>
        <xdr:cNvPicPr>
          <a:picLocks noChangeAspect="1"/>
        </xdr:cNvPicPr>
      </xdr:nvPicPr>
      <xdr:blipFill>
        <a:blip xmlns:r="http://schemas.openxmlformats.org/officeDocument/2006/relationships" r:embed="rId2"/>
        <a:srcRect/>
        <a:stretch>
          <a:fillRect/>
        </a:stretch>
      </xdr:blipFill>
      <xdr:spPr>
        <a:xfrm>
          <a:off x="5986463" y="30224186"/>
          <a:ext cx="156636" cy="134105"/>
        </a:xfrm>
        <a:prstGeom prst="rect">
          <a:avLst/>
        </a:prstGeom>
        <a:noFill/>
        <a:ln cap="flat">
          <a:noFill/>
        </a:ln>
      </xdr:spPr>
    </xdr:pic>
    <xdr:clientData/>
  </xdr:oneCellAnchor>
  <xdr:oneCellAnchor>
    <xdr:from>
      <xdr:col>12</xdr:col>
      <xdr:colOff>245949</xdr:colOff>
      <xdr:row>523</xdr:row>
      <xdr:rowOff>8503</xdr:rowOff>
    </xdr:from>
    <xdr:ext cx="156636" cy="134105"/>
    <xdr:pic>
      <xdr:nvPicPr>
        <xdr:cNvPr id="156" name="Picture 1">
          <a:extLst>
            <a:ext uri="{FF2B5EF4-FFF2-40B4-BE49-F238E27FC236}">
              <a16:creationId xmlns:a16="http://schemas.microsoft.com/office/drawing/2014/main" id="{E35B885F-92EF-40E9-A54C-915441258254}"/>
            </a:ext>
          </a:extLst>
        </xdr:cNvPr>
        <xdr:cNvPicPr>
          <a:picLocks noChangeAspect="1"/>
        </xdr:cNvPicPr>
      </xdr:nvPicPr>
      <xdr:blipFill>
        <a:blip xmlns:r="http://schemas.openxmlformats.org/officeDocument/2006/relationships" r:embed="rId2"/>
        <a:srcRect/>
        <a:stretch>
          <a:fillRect/>
        </a:stretch>
      </xdr:blipFill>
      <xdr:spPr>
        <a:xfrm>
          <a:off x="6250101" y="32036316"/>
          <a:ext cx="156636" cy="134105"/>
        </a:xfrm>
        <a:prstGeom prst="rect">
          <a:avLst/>
        </a:prstGeom>
        <a:noFill/>
        <a:ln cap="flat">
          <a:noFill/>
        </a:ln>
      </xdr:spPr>
    </xdr:pic>
    <xdr:clientData/>
  </xdr:oneCellAnchor>
  <xdr:oneCellAnchor>
    <xdr:from>
      <xdr:col>12</xdr:col>
      <xdr:colOff>235404</xdr:colOff>
      <xdr:row>538</xdr:row>
      <xdr:rowOff>17009</xdr:rowOff>
    </xdr:from>
    <xdr:ext cx="156636" cy="134105"/>
    <xdr:pic>
      <xdr:nvPicPr>
        <xdr:cNvPr id="157" name="Picture 1">
          <a:extLst>
            <a:ext uri="{FF2B5EF4-FFF2-40B4-BE49-F238E27FC236}">
              <a16:creationId xmlns:a16="http://schemas.microsoft.com/office/drawing/2014/main" id="{113A739E-B358-4AFC-B7CA-4F1CC8E71B3C}"/>
            </a:ext>
          </a:extLst>
        </xdr:cNvPr>
        <xdr:cNvPicPr>
          <a:picLocks noChangeAspect="1"/>
        </xdr:cNvPicPr>
      </xdr:nvPicPr>
      <xdr:blipFill>
        <a:blip xmlns:r="http://schemas.openxmlformats.org/officeDocument/2006/relationships" r:embed="rId2"/>
        <a:srcRect/>
        <a:stretch>
          <a:fillRect/>
        </a:stretch>
      </xdr:blipFill>
      <xdr:spPr>
        <a:xfrm>
          <a:off x="5978979" y="28277684"/>
          <a:ext cx="156636" cy="134105"/>
        </a:xfrm>
        <a:prstGeom prst="rect">
          <a:avLst/>
        </a:prstGeom>
        <a:noFill/>
        <a:ln cap="flat">
          <a:noFill/>
        </a:ln>
      </xdr:spPr>
    </xdr:pic>
    <xdr:clientData/>
  </xdr:oneCellAnchor>
  <xdr:oneCellAnchor>
    <xdr:from>
      <xdr:col>8</xdr:col>
      <xdr:colOff>280648</xdr:colOff>
      <xdr:row>659</xdr:row>
      <xdr:rowOff>127565</xdr:rowOff>
    </xdr:from>
    <xdr:ext cx="230136" cy="134279"/>
    <xdr:pic>
      <xdr:nvPicPr>
        <xdr:cNvPr id="159" name="Picture 40" descr="UK2.jpg">
          <a:extLst>
            <a:ext uri="{FF2B5EF4-FFF2-40B4-BE49-F238E27FC236}">
              <a16:creationId xmlns:a16="http://schemas.microsoft.com/office/drawing/2014/main" id="{397E3835-56C4-406B-B259-3AAF645F3F00}"/>
            </a:ext>
          </a:extLst>
        </xdr:cNvPr>
        <xdr:cNvPicPr>
          <a:picLocks noChangeAspect="1"/>
        </xdr:cNvPicPr>
      </xdr:nvPicPr>
      <xdr:blipFill>
        <a:blip xmlns:r="http://schemas.openxmlformats.org/officeDocument/2006/relationships" r:embed="rId1"/>
        <a:srcRect/>
        <a:stretch>
          <a:fillRect/>
        </a:stretch>
      </xdr:blipFill>
      <xdr:spPr>
        <a:xfrm>
          <a:off x="5170715" y="36050422"/>
          <a:ext cx="230136" cy="134279"/>
        </a:xfrm>
        <a:prstGeom prst="rect">
          <a:avLst/>
        </a:prstGeom>
        <a:noFill/>
        <a:ln cap="flat">
          <a:noFill/>
        </a:ln>
      </xdr:spPr>
    </xdr:pic>
    <xdr:clientData/>
  </xdr:oneCellAnchor>
  <xdr:oneCellAnchor>
    <xdr:from>
      <xdr:col>13</xdr:col>
      <xdr:colOff>0</xdr:colOff>
      <xdr:row>313</xdr:row>
      <xdr:rowOff>0</xdr:rowOff>
    </xdr:from>
    <xdr:ext cx="156636" cy="134105"/>
    <xdr:pic>
      <xdr:nvPicPr>
        <xdr:cNvPr id="103" name="Picture 1">
          <a:extLst>
            <a:ext uri="{FF2B5EF4-FFF2-40B4-BE49-F238E27FC236}">
              <a16:creationId xmlns:a16="http://schemas.microsoft.com/office/drawing/2014/main" id="{7522F3EC-04F6-4904-8979-D6D1D453AFBD}"/>
            </a:ext>
          </a:extLst>
        </xdr:cNvPr>
        <xdr:cNvPicPr>
          <a:picLocks noChangeAspect="1"/>
        </xdr:cNvPicPr>
      </xdr:nvPicPr>
      <xdr:blipFill>
        <a:blip xmlns:r="http://schemas.openxmlformats.org/officeDocument/2006/relationships" r:embed="rId2"/>
        <a:srcRect/>
        <a:stretch>
          <a:fillRect/>
        </a:stretch>
      </xdr:blipFill>
      <xdr:spPr>
        <a:xfrm>
          <a:off x="6004152" y="21456763"/>
          <a:ext cx="156636" cy="134105"/>
        </a:xfrm>
        <a:prstGeom prst="rect">
          <a:avLst/>
        </a:prstGeom>
        <a:noFill/>
        <a:ln cap="flat">
          <a:noFill/>
        </a:ln>
      </xdr:spPr>
    </xdr:pic>
    <xdr:clientData/>
  </xdr:oneCellAnchor>
  <xdr:oneCellAnchor>
    <xdr:from>
      <xdr:col>13</xdr:col>
      <xdr:colOff>0</xdr:colOff>
      <xdr:row>311</xdr:row>
      <xdr:rowOff>0</xdr:rowOff>
    </xdr:from>
    <xdr:ext cx="156636" cy="134105"/>
    <xdr:pic>
      <xdr:nvPicPr>
        <xdr:cNvPr id="113" name="Picture 1">
          <a:extLst>
            <a:ext uri="{FF2B5EF4-FFF2-40B4-BE49-F238E27FC236}">
              <a16:creationId xmlns:a16="http://schemas.microsoft.com/office/drawing/2014/main" id="{99286C6A-1D62-4A85-B926-A5355A84761D}"/>
            </a:ext>
          </a:extLst>
        </xdr:cNvPr>
        <xdr:cNvPicPr>
          <a:picLocks noChangeAspect="1"/>
        </xdr:cNvPicPr>
      </xdr:nvPicPr>
      <xdr:blipFill>
        <a:blip xmlns:r="http://schemas.openxmlformats.org/officeDocument/2006/relationships" r:embed="rId2"/>
        <a:srcRect/>
        <a:stretch>
          <a:fillRect/>
        </a:stretch>
      </xdr:blipFill>
      <xdr:spPr>
        <a:xfrm>
          <a:off x="6004152" y="21312188"/>
          <a:ext cx="156636" cy="134105"/>
        </a:xfrm>
        <a:prstGeom prst="rect">
          <a:avLst/>
        </a:prstGeom>
        <a:noFill/>
        <a:ln cap="flat">
          <a:noFill/>
        </a:ln>
      </xdr:spPr>
    </xdr:pic>
    <xdr:clientData/>
  </xdr:oneCellAnchor>
  <xdr:oneCellAnchor>
    <xdr:from>
      <xdr:col>12</xdr:col>
      <xdr:colOff>228600</xdr:colOff>
      <xdr:row>531</xdr:row>
      <xdr:rowOff>9525</xdr:rowOff>
    </xdr:from>
    <xdr:ext cx="156636" cy="134105"/>
    <xdr:pic>
      <xdr:nvPicPr>
        <xdr:cNvPr id="122" name="Picture 1">
          <a:extLst>
            <a:ext uri="{FF2B5EF4-FFF2-40B4-BE49-F238E27FC236}">
              <a16:creationId xmlns:a16="http://schemas.microsoft.com/office/drawing/2014/main" id="{191C19B5-8BE7-4478-8633-1F7AF419C625}"/>
            </a:ext>
          </a:extLst>
        </xdr:cNvPr>
        <xdr:cNvPicPr>
          <a:picLocks noChangeAspect="1"/>
        </xdr:cNvPicPr>
      </xdr:nvPicPr>
      <xdr:blipFill>
        <a:blip xmlns:r="http://schemas.openxmlformats.org/officeDocument/2006/relationships" r:embed="rId2"/>
        <a:srcRect/>
        <a:stretch>
          <a:fillRect/>
        </a:stretch>
      </xdr:blipFill>
      <xdr:spPr>
        <a:xfrm>
          <a:off x="5972175" y="31889700"/>
          <a:ext cx="156636" cy="134105"/>
        </a:xfrm>
        <a:prstGeom prst="rect">
          <a:avLst/>
        </a:prstGeom>
        <a:noFill/>
        <a:ln cap="flat">
          <a:noFill/>
        </a:ln>
      </xdr:spPr>
    </xdr:pic>
    <xdr:clientData/>
  </xdr:oneCellAnchor>
  <xdr:oneCellAnchor>
    <xdr:from>
      <xdr:col>9</xdr:col>
      <xdr:colOff>8505</xdr:colOff>
      <xdr:row>644</xdr:row>
      <xdr:rowOff>8505</xdr:rowOff>
    </xdr:from>
    <xdr:ext cx="230136" cy="134279"/>
    <xdr:pic>
      <xdr:nvPicPr>
        <xdr:cNvPr id="125" name="Picture 40" descr="UK2.jpg">
          <a:extLst>
            <a:ext uri="{FF2B5EF4-FFF2-40B4-BE49-F238E27FC236}">
              <a16:creationId xmlns:a16="http://schemas.microsoft.com/office/drawing/2014/main" id="{117E3DD3-29CD-4F43-B374-5318D2DF3379}"/>
            </a:ext>
          </a:extLst>
        </xdr:cNvPr>
        <xdr:cNvPicPr>
          <a:picLocks noChangeAspect="1"/>
        </xdr:cNvPicPr>
      </xdr:nvPicPr>
      <xdr:blipFill>
        <a:blip xmlns:r="http://schemas.openxmlformats.org/officeDocument/2006/relationships" r:embed="rId1"/>
        <a:srcRect/>
        <a:stretch>
          <a:fillRect/>
        </a:stretch>
      </xdr:blipFill>
      <xdr:spPr>
        <a:xfrm>
          <a:off x="5187724" y="32835737"/>
          <a:ext cx="230136" cy="134279"/>
        </a:xfrm>
        <a:prstGeom prst="rect">
          <a:avLst/>
        </a:prstGeom>
        <a:noFill/>
        <a:ln cap="flat">
          <a:noFill/>
        </a:ln>
      </xdr:spPr>
    </xdr:pic>
    <xdr:clientData/>
  </xdr:oneCellAnchor>
  <xdr:oneCellAnchor>
    <xdr:from>
      <xdr:col>13</xdr:col>
      <xdr:colOff>0</xdr:colOff>
      <xdr:row>317</xdr:row>
      <xdr:rowOff>0</xdr:rowOff>
    </xdr:from>
    <xdr:ext cx="156636" cy="134105"/>
    <xdr:pic>
      <xdr:nvPicPr>
        <xdr:cNvPr id="119" name="Picture 1">
          <a:extLst>
            <a:ext uri="{FF2B5EF4-FFF2-40B4-BE49-F238E27FC236}">
              <a16:creationId xmlns:a16="http://schemas.microsoft.com/office/drawing/2014/main" id="{07EC2C39-9F49-4205-8746-63D44273F031}"/>
            </a:ext>
          </a:extLst>
        </xdr:cNvPr>
        <xdr:cNvPicPr>
          <a:picLocks noChangeAspect="1"/>
        </xdr:cNvPicPr>
      </xdr:nvPicPr>
      <xdr:blipFill>
        <a:blip xmlns:r="http://schemas.openxmlformats.org/officeDocument/2006/relationships" r:embed="rId2"/>
        <a:srcRect/>
        <a:stretch>
          <a:fillRect/>
        </a:stretch>
      </xdr:blipFill>
      <xdr:spPr>
        <a:xfrm>
          <a:off x="6259286" y="20886964"/>
          <a:ext cx="156636" cy="134105"/>
        </a:xfrm>
        <a:prstGeom prst="rect">
          <a:avLst/>
        </a:prstGeom>
        <a:noFill/>
        <a:ln cap="flat">
          <a:noFill/>
        </a:ln>
      </xdr:spPr>
    </xdr:pic>
    <xdr:clientData/>
  </xdr:oneCellAnchor>
  <xdr:oneCellAnchor>
    <xdr:from>
      <xdr:col>13</xdr:col>
      <xdr:colOff>0</xdr:colOff>
      <xdr:row>318</xdr:row>
      <xdr:rowOff>0</xdr:rowOff>
    </xdr:from>
    <xdr:ext cx="156636" cy="134105"/>
    <xdr:pic>
      <xdr:nvPicPr>
        <xdr:cNvPr id="140" name="Picture 1">
          <a:extLst>
            <a:ext uri="{FF2B5EF4-FFF2-40B4-BE49-F238E27FC236}">
              <a16:creationId xmlns:a16="http://schemas.microsoft.com/office/drawing/2014/main" id="{EC0D9C44-E773-4C06-BB10-144B295C54F8}"/>
            </a:ext>
          </a:extLst>
        </xdr:cNvPr>
        <xdr:cNvPicPr>
          <a:picLocks noChangeAspect="1"/>
        </xdr:cNvPicPr>
      </xdr:nvPicPr>
      <xdr:blipFill>
        <a:blip xmlns:r="http://schemas.openxmlformats.org/officeDocument/2006/relationships" r:embed="rId2"/>
        <a:srcRect/>
        <a:stretch>
          <a:fillRect/>
        </a:stretch>
      </xdr:blipFill>
      <xdr:spPr>
        <a:xfrm>
          <a:off x="6259286" y="21031540"/>
          <a:ext cx="156636" cy="134105"/>
        </a:xfrm>
        <a:prstGeom prst="rect">
          <a:avLst/>
        </a:prstGeom>
        <a:noFill/>
        <a:ln cap="flat">
          <a:noFill/>
        </a:ln>
      </xdr:spPr>
    </xdr:pic>
    <xdr:clientData/>
  </xdr:oneCellAnchor>
  <xdr:oneCellAnchor>
    <xdr:from>
      <xdr:col>13</xdr:col>
      <xdr:colOff>0</xdr:colOff>
      <xdr:row>319</xdr:row>
      <xdr:rowOff>0</xdr:rowOff>
    </xdr:from>
    <xdr:ext cx="156636" cy="134105"/>
    <xdr:pic>
      <xdr:nvPicPr>
        <xdr:cNvPr id="142" name="Picture 1">
          <a:extLst>
            <a:ext uri="{FF2B5EF4-FFF2-40B4-BE49-F238E27FC236}">
              <a16:creationId xmlns:a16="http://schemas.microsoft.com/office/drawing/2014/main" id="{C4393F20-1A56-43B1-98DA-E0C4049E2FE3}"/>
            </a:ext>
          </a:extLst>
        </xdr:cNvPr>
        <xdr:cNvPicPr>
          <a:picLocks noChangeAspect="1"/>
        </xdr:cNvPicPr>
      </xdr:nvPicPr>
      <xdr:blipFill>
        <a:blip xmlns:r="http://schemas.openxmlformats.org/officeDocument/2006/relationships" r:embed="rId2"/>
        <a:srcRect/>
        <a:stretch>
          <a:fillRect/>
        </a:stretch>
      </xdr:blipFill>
      <xdr:spPr>
        <a:xfrm>
          <a:off x="6259286" y="21176116"/>
          <a:ext cx="156636" cy="134105"/>
        </a:xfrm>
        <a:prstGeom prst="rect">
          <a:avLst/>
        </a:prstGeom>
        <a:noFill/>
        <a:ln cap="flat">
          <a:noFill/>
        </a:ln>
      </xdr:spPr>
    </xdr:pic>
    <xdr:clientData/>
  </xdr:oneCellAnchor>
  <xdr:oneCellAnchor>
    <xdr:from>
      <xdr:col>13</xdr:col>
      <xdr:colOff>0</xdr:colOff>
      <xdr:row>313</xdr:row>
      <xdr:rowOff>0</xdr:rowOff>
    </xdr:from>
    <xdr:ext cx="156636" cy="134105"/>
    <xdr:pic>
      <xdr:nvPicPr>
        <xdr:cNvPr id="144" name="Picture 1">
          <a:extLst>
            <a:ext uri="{FF2B5EF4-FFF2-40B4-BE49-F238E27FC236}">
              <a16:creationId xmlns:a16="http://schemas.microsoft.com/office/drawing/2014/main" id="{CB39CBDF-A682-4581-BDD5-177C15100057}"/>
            </a:ext>
          </a:extLst>
        </xdr:cNvPr>
        <xdr:cNvPicPr>
          <a:picLocks noChangeAspect="1"/>
        </xdr:cNvPicPr>
      </xdr:nvPicPr>
      <xdr:blipFill>
        <a:blip xmlns:r="http://schemas.openxmlformats.org/officeDocument/2006/relationships" r:embed="rId2"/>
        <a:srcRect/>
        <a:stretch>
          <a:fillRect/>
        </a:stretch>
      </xdr:blipFill>
      <xdr:spPr>
        <a:xfrm>
          <a:off x="6259286" y="20597813"/>
          <a:ext cx="156636" cy="134105"/>
        </a:xfrm>
        <a:prstGeom prst="rect">
          <a:avLst/>
        </a:prstGeom>
        <a:noFill/>
        <a:ln cap="flat">
          <a:noFill/>
        </a:ln>
      </xdr:spPr>
    </xdr:pic>
    <xdr:clientData/>
  </xdr:oneCellAnchor>
  <xdr:oneCellAnchor>
    <xdr:from>
      <xdr:col>13</xdr:col>
      <xdr:colOff>0</xdr:colOff>
      <xdr:row>314</xdr:row>
      <xdr:rowOff>0</xdr:rowOff>
    </xdr:from>
    <xdr:ext cx="156636" cy="134105"/>
    <xdr:pic>
      <xdr:nvPicPr>
        <xdr:cNvPr id="147" name="Picture 1">
          <a:extLst>
            <a:ext uri="{FF2B5EF4-FFF2-40B4-BE49-F238E27FC236}">
              <a16:creationId xmlns:a16="http://schemas.microsoft.com/office/drawing/2014/main" id="{E6ECB282-3BFB-41B9-8CBA-99DA8EF588A3}"/>
            </a:ext>
          </a:extLst>
        </xdr:cNvPr>
        <xdr:cNvPicPr>
          <a:picLocks noChangeAspect="1"/>
        </xdr:cNvPicPr>
      </xdr:nvPicPr>
      <xdr:blipFill>
        <a:blip xmlns:r="http://schemas.openxmlformats.org/officeDocument/2006/relationships" r:embed="rId2"/>
        <a:srcRect/>
        <a:stretch>
          <a:fillRect/>
        </a:stretch>
      </xdr:blipFill>
      <xdr:spPr>
        <a:xfrm>
          <a:off x="6259286" y="20597813"/>
          <a:ext cx="156636" cy="134105"/>
        </a:xfrm>
        <a:prstGeom prst="rect">
          <a:avLst/>
        </a:prstGeom>
        <a:noFill/>
        <a:ln cap="flat">
          <a:noFill/>
        </a:ln>
      </xdr:spPr>
    </xdr:pic>
    <xdr:clientData/>
  </xdr:oneCellAnchor>
  <xdr:oneCellAnchor>
    <xdr:from>
      <xdr:col>13</xdr:col>
      <xdr:colOff>0</xdr:colOff>
      <xdr:row>315</xdr:row>
      <xdr:rowOff>0</xdr:rowOff>
    </xdr:from>
    <xdr:ext cx="156636" cy="134105"/>
    <xdr:pic>
      <xdr:nvPicPr>
        <xdr:cNvPr id="148" name="Picture 1">
          <a:extLst>
            <a:ext uri="{FF2B5EF4-FFF2-40B4-BE49-F238E27FC236}">
              <a16:creationId xmlns:a16="http://schemas.microsoft.com/office/drawing/2014/main" id="{D4A39BE9-5601-4871-B3BF-ABC3D795DA7B}"/>
            </a:ext>
          </a:extLst>
        </xdr:cNvPr>
        <xdr:cNvPicPr>
          <a:picLocks noChangeAspect="1"/>
        </xdr:cNvPicPr>
      </xdr:nvPicPr>
      <xdr:blipFill>
        <a:blip xmlns:r="http://schemas.openxmlformats.org/officeDocument/2006/relationships" r:embed="rId2"/>
        <a:srcRect/>
        <a:stretch>
          <a:fillRect/>
        </a:stretch>
      </xdr:blipFill>
      <xdr:spPr>
        <a:xfrm>
          <a:off x="6259286" y="20597813"/>
          <a:ext cx="156636" cy="134105"/>
        </a:xfrm>
        <a:prstGeom prst="rect">
          <a:avLst/>
        </a:prstGeom>
        <a:noFill/>
        <a:ln cap="flat">
          <a:noFill/>
        </a:ln>
      </xdr:spPr>
    </xdr:pic>
    <xdr:clientData/>
  </xdr:oneCellAnchor>
  <xdr:oneCellAnchor>
    <xdr:from>
      <xdr:col>13</xdr:col>
      <xdr:colOff>0</xdr:colOff>
      <xdr:row>316</xdr:row>
      <xdr:rowOff>0</xdr:rowOff>
    </xdr:from>
    <xdr:ext cx="156636" cy="134105"/>
    <xdr:pic>
      <xdr:nvPicPr>
        <xdr:cNvPr id="153" name="Picture 1">
          <a:extLst>
            <a:ext uri="{FF2B5EF4-FFF2-40B4-BE49-F238E27FC236}">
              <a16:creationId xmlns:a16="http://schemas.microsoft.com/office/drawing/2014/main" id="{7EEBA941-ECEE-41A1-A4DE-EAC6564F783D}"/>
            </a:ext>
          </a:extLst>
        </xdr:cNvPr>
        <xdr:cNvPicPr>
          <a:picLocks noChangeAspect="1"/>
        </xdr:cNvPicPr>
      </xdr:nvPicPr>
      <xdr:blipFill>
        <a:blip xmlns:r="http://schemas.openxmlformats.org/officeDocument/2006/relationships" r:embed="rId2"/>
        <a:srcRect/>
        <a:stretch>
          <a:fillRect/>
        </a:stretch>
      </xdr:blipFill>
      <xdr:spPr>
        <a:xfrm>
          <a:off x="6259286" y="20597813"/>
          <a:ext cx="156636" cy="134105"/>
        </a:xfrm>
        <a:prstGeom prst="rect">
          <a:avLst/>
        </a:prstGeom>
        <a:noFill/>
        <a:ln cap="flat">
          <a:noFill/>
        </a:ln>
      </xdr:spPr>
    </xdr:pic>
    <xdr:clientData/>
  </xdr:oneCellAnchor>
  <xdr:oneCellAnchor>
    <xdr:from>
      <xdr:col>13</xdr:col>
      <xdr:colOff>0</xdr:colOff>
      <xdr:row>317</xdr:row>
      <xdr:rowOff>0</xdr:rowOff>
    </xdr:from>
    <xdr:ext cx="156636" cy="134105"/>
    <xdr:pic>
      <xdr:nvPicPr>
        <xdr:cNvPr id="154" name="Picture 1">
          <a:extLst>
            <a:ext uri="{FF2B5EF4-FFF2-40B4-BE49-F238E27FC236}">
              <a16:creationId xmlns:a16="http://schemas.microsoft.com/office/drawing/2014/main" id="{44698E19-CABB-4158-9769-DC138008B46A}"/>
            </a:ext>
          </a:extLst>
        </xdr:cNvPr>
        <xdr:cNvPicPr>
          <a:picLocks noChangeAspect="1"/>
        </xdr:cNvPicPr>
      </xdr:nvPicPr>
      <xdr:blipFill>
        <a:blip xmlns:r="http://schemas.openxmlformats.org/officeDocument/2006/relationships" r:embed="rId2"/>
        <a:srcRect/>
        <a:stretch>
          <a:fillRect/>
        </a:stretch>
      </xdr:blipFill>
      <xdr:spPr>
        <a:xfrm>
          <a:off x="6259286" y="20597813"/>
          <a:ext cx="156636" cy="134105"/>
        </a:xfrm>
        <a:prstGeom prst="rect">
          <a:avLst/>
        </a:prstGeom>
        <a:noFill/>
        <a:ln cap="flat">
          <a:noFill/>
        </a:ln>
      </xdr:spPr>
    </xdr:pic>
    <xdr:clientData/>
  </xdr:oneCellAnchor>
  <xdr:oneCellAnchor>
    <xdr:from>
      <xdr:col>13</xdr:col>
      <xdr:colOff>0</xdr:colOff>
      <xdr:row>318</xdr:row>
      <xdr:rowOff>0</xdr:rowOff>
    </xdr:from>
    <xdr:ext cx="156636" cy="134105"/>
    <xdr:pic>
      <xdr:nvPicPr>
        <xdr:cNvPr id="160" name="Picture 1">
          <a:extLst>
            <a:ext uri="{FF2B5EF4-FFF2-40B4-BE49-F238E27FC236}">
              <a16:creationId xmlns:a16="http://schemas.microsoft.com/office/drawing/2014/main" id="{8340C911-AFB6-4BF0-921F-5A45D1B79F79}"/>
            </a:ext>
          </a:extLst>
        </xdr:cNvPr>
        <xdr:cNvPicPr>
          <a:picLocks noChangeAspect="1"/>
        </xdr:cNvPicPr>
      </xdr:nvPicPr>
      <xdr:blipFill>
        <a:blip xmlns:r="http://schemas.openxmlformats.org/officeDocument/2006/relationships" r:embed="rId2"/>
        <a:srcRect/>
        <a:stretch>
          <a:fillRect/>
        </a:stretch>
      </xdr:blipFill>
      <xdr:spPr>
        <a:xfrm>
          <a:off x="6259286" y="20597813"/>
          <a:ext cx="156636" cy="134105"/>
        </a:xfrm>
        <a:prstGeom prst="rect">
          <a:avLst/>
        </a:prstGeom>
        <a:noFill/>
        <a:ln cap="flat">
          <a:noFill/>
        </a:ln>
      </xdr:spPr>
    </xdr:pic>
    <xdr:clientData/>
  </xdr:oneCellAnchor>
  <xdr:oneCellAnchor>
    <xdr:from>
      <xdr:col>13</xdr:col>
      <xdr:colOff>0</xdr:colOff>
      <xdr:row>319</xdr:row>
      <xdr:rowOff>0</xdr:rowOff>
    </xdr:from>
    <xdr:ext cx="156636" cy="134105"/>
    <xdr:pic>
      <xdr:nvPicPr>
        <xdr:cNvPr id="162" name="Picture 1">
          <a:extLst>
            <a:ext uri="{FF2B5EF4-FFF2-40B4-BE49-F238E27FC236}">
              <a16:creationId xmlns:a16="http://schemas.microsoft.com/office/drawing/2014/main" id="{1CD159E5-D49D-4D00-88E6-C771C11E65E6}"/>
            </a:ext>
          </a:extLst>
        </xdr:cNvPr>
        <xdr:cNvPicPr>
          <a:picLocks noChangeAspect="1"/>
        </xdr:cNvPicPr>
      </xdr:nvPicPr>
      <xdr:blipFill>
        <a:blip xmlns:r="http://schemas.openxmlformats.org/officeDocument/2006/relationships" r:embed="rId2"/>
        <a:srcRect/>
        <a:stretch>
          <a:fillRect/>
        </a:stretch>
      </xdr:blipFill>
      <xdr:spPr>
        <a:xfrm>
          <a:off x="6259286" y="20597813"/>
          <a:ext cx="156636" cy="134105"/>
        </a:xfrm>
        <a:prstGeom prst="rect">
          <a:avLst/>
        </a:prstGeom>
        <a:noFill/>
        <a:ln cap="flat">
          <a:noFill/>
        </a:ln>
      </xdr:spPr>
    </xdr:pic>
    <xdr:clientData/>
  </xdr:oneCellAnchor>
  <xdr:oneCellAnchor>
    <xdr:from>
      <xdr:col>13</xdr:col>
      <xdr:colOff>0</xdr:colOff>
      <xdr:row>320</xdr:row>
      <xdr:rowOff>0</xdr:rowOff>
    </xdr:from>
    <xdr:ext cx="156636" cy="134105"/>
    <xdr:pic>
      <xdr:nvPicPr>
        <xdr:cNvPr id="163" name="Picture 1">
          <a:extLst>
            <a:ext uri="{FF2B5EF4-FFF2-40B4-BE49-F238E27FC236}">
              <a16:creationId xmlns:a16="http://schemas.microsoft.com/office/drawing/2014/main" id="{2C4630E8-ED11-4A99-8E41-72BA3741A8F5}"/>
            </a:ext>
          </a:extLst>
        </xdr:cNvPr>
        <xdr:cNvPicPr>
          <a:picLocks noChangeAspect="1"/>
        </xdr:cNvPicPr>
      </xdr:nvPicPr>
      <xdr:blipFill>
        <a:blip xmlns:r="http://schemas.openxmlformats.org/officeDocument/2006/relationships" r:embed="rId2"/>
        <a:srcRect/>
        <a:stretch>
          <a:fillRect/>
        </a:stretch>
      </xdr:blipFill>
      <xdr:spPr>
        <a:xfrm>
          <a:off x="6259286" y="20597813"/>
          <a:ext cx="156636" cy="134105"/>
        </a:xfrm>
        <a:prstGeom prst="rect">
          <a:avLst/>
        </a:prstGeom>
        <a:noFill/>
        <a:ln cap="flat">
          <a:noFill/>
        </a:ln>
      </xdr:spPr>
    </xdr:pic>
    <xdr:clientData/>
  </xdr:oneCellAnchor>
  <xdr:oneCellAnchor>
    <xdr:from>
      <xdr:col>13</xdr:col>
      <xdr:colOff>0</xdr:colOff>
      <xdr:row>322</xdr:row>
      <xdr:rowOff>0</xdr:rowOff>
    </xdr:from>
    <xdr:ext cx="156636" cy="134105"/>
    <xdr:pic>
      <xdr:nvPicPr>
        <xdr:cNvPr id="194" name="Picture 1">
          <a:extLst>
            <a:ext uri="{FF2B5EF4-FFF2-40B4-BE49-F238E27FC236}">
              <a16:creationId xmlns:a16="http://schemas.microsoft.com/office/drawing/2014/main" id="{C688BDE7-9EB4-4D4F-82EE-90082E88B7FD}"/>
            </a:ext>
          </a:extLst>
        </xdr:cNvPr>
        <xdr:cNvPicPr>
          <a:picLocks noChangeAspect="1"/>
        </xdr:cNvPicPr>
      </xdr:nvPicPr>
      <xdr:blipFill>
        <a:blip xmlns:r="http://schemas.openxmlformats.org/officeDocument/2006/relationships" r:embed="rId2"/>
        <a:srcRect/>
        <a:stretch>
          <a:fillRect/>
        </a:stretch>
      </xdr:blipFill>
      <xdr:spPr>
        <a:xfrm>
          <a:off x="6259286" y="23200179"/>
          <a:ext cx="156636" cy="134105"/>
        </a:xfrm>
        <a:prstGeom prst="rect">
          <a:avLst/>
        </a:prstGeom>
        <a:noFill/>
        <a:ln cap="flat">
          <a:noFill/>
        </a:ln>
      </xdr:spPr>
    </xdr:pic>
    <xdr:clientData/>
  </xdr:oneCellAnchor>
  <xdr:oneCellAnchor>
    <xdr:from>
      <xdr:col>6</xdr:col>
      <xdr:colOff>518773</xdr:colOff>
      <xdr:row>28</xdr:row>
      <xdr:rowOff>19050</xdr:rowOff>
    </xdr:from>
    <xdr:ext cx="156636" cy="134105"/>
    <xdr:pic>
      <xdr:nvPicPr>
        <xdr:cNvPr id="135" name="Picture 1">
          <a:extLst>
            <a:ext uri="{FF2B5EF4-FFF2-40B4-BE49-F238E27FC236}">
              <a16:creationId xmlns:a16="http://schemas.microsoft.com/office/drawing/2014/main" id="{FC58569C-34AE-4433-A624-7D9029329D76}"/>
            </a:ext>
          </a:extLst>
        </xdr:cNvPr>
        <xdr:cNvPicPr>
          <a:picLocks noChangeAspect="1"/>
        </xdr:cNvPicPr>
      </xdr:nvPicPr>
      <xdr:blipFill>
        <a:blip xmlns:r="http://schemas.openxmlformats.org/officeDocument/2006/relationships" r:embed="rId2"/>
        <a:srcRect/>
        <a:stretch>
          <a:fillRect/>
        </a:stretch>
      </xdr:blipFill>
      <xdr:spPr>
        <a:xfrm>
          <a:off x="2719048" y="4829175"/>
          <a:ext cx="156636" cy="134105"/>
        </a:xfrm>
        <a:prstGeom prst="rect">
          <a:avLst/>
        </a:prstGeom>
        <a:noFill/>
        <a:ln cap="flat">
          <a:noFill/>
        </a:ln>
      </xdr:spPr>
    </xdr:pic>
    <xdr:clientData/>
  </xdr:oneCellAnchor>
  <xdr:oneCellAnchor>
    <xdr:from>
      <xdr:col>6</xdr:col>
      <xdr:colOff>518766</xdr:colOff>
      <xdr:row>29</xdr:row>
      <xdr:rowOff>25512</xdr:rowOff>
    </xdr:from>
    <xdr:ext cx="156636" cy="134105"/>
    <xdr:pic>
      <xdr:nvPicPr>
        <xdr:cNvPr id="168" name="Picture 1">
          <a:extLst>
            <a:ext uri="{FF2B5EF4-FFF2-40B4-BE49-F238E27FC236}">
              <a16:creationId xmlns:a16="http://schemas.microsoft.com/office/drawing/2014/main" id="{5AB73692-17AF-4DD5-967D-0722F0A0EF7C}"/>
            </a:ext>
          </a:extLst>
        </xdr:cNvPr>
        <xdr:cNvPicPr>
          <a:picLocks noChangeAspect="1"/>
        </xdr:cNvPicPr>
      </xdr:nvPicPr>
      <xdr:blipFill>
        <a:blip xmlns:r="http://schemas.openxmlformats.org/officeDocument/2006/relationships" r:embed="rId2"/>
        <a:srcRect/>
        <a:stretch>
          <a:fillRect/>
        </a:stretch>
      </xdr:blipFill>
      <xdr:spPr>
        <a:xfrm>
          <a:off x="2719041" y="14274912"/>
          <a:ext cx="156636" cy="134105"/>
        </a:xfrm>
        <a:prstGeom prst="rect">
          <a:avLst/>
        </a:prstGeom>
        <a:noFill/>
        <a:ln cap="flat">
          <a:noFill/>
        </a:ln>
      </xdr:spPr>
    </xdr:pic>
    <xdr:clientData/>
  </xdr:oneCellAnchor>
  <xdr:oneCellAnchor>
    <xdr:from>
      <xdr:col>9</xdr:col>
      <xdr:colOff>0</xdr:colOff>
      <xdr:row>297</xdr:row>
      <xdr:rowOff>0</xdr:rowOff>
    </xdr:from>
    <xdr:ext cx="230136" cy="134279"/>
    <xdr:pic>
      <xdr:nvPicPr>
        <xdr:cNvPr id="171" name="Picture 40" descr="UK2.jpg">
          <a:extLst>
            <a:ext uri="{FF2B5EF4-FFF2-40B4-BE49-F238E27FC236}">
              <a16:creationId xmlns:a16="http://schemas.microsoft.com/office/drawing/2014/main" id="{4DF200F4-8990-4F29-84FC-210F312BDE1F}"/>
            </a:ext>
          </a:extLst>
        </xdr:cNvPr>
        <xdr:cNvPicPr>
          <a:picLocks noChangeAspect="1"/>
        </xdr:cNvPicPr>
      </xdr:nvPicPr>
      <xdr:blipFill>
        <a:blip xmlns:r="http://schemas.openxmlformats.org/officeDocument/2006/relationships" r:embed="rId1"/>
        <a:srcRect/>
        <a:stretch>
          <a:fillRect/>
        </a:stretch>
      </xdr:blipFill>
      <xdr:spPr>
        <a:xfrm>
          <a:off x="5179219" y="21796942"/>
          <a:ext cx="230136" cy="134279"/>
        </a:xfrm>
        <a:prstGeom prst="rect">
          <a:avLst/>
        </a:prstGeom>
        <a:noFill/>
        <a:ln cap="flat">
          <a:noFill/>
        </a:ln>
      </xdr:spPr>
    </xdr:pic>
    <xdr:clientData/>
  </xdr:oneCellAnchor>
  <xdr:oneCellAnchor>
    <xdr:from>
      <xdr:col>9</xdr:col>
      <xdr:colOff>0</xdr:colOff>
      <xdr:row>299</xdr:row>
      <xdr:rowOff>0</xdr:rowOff>
    </xdr:from>
    <xdr:ext cx="230136" cy="134279"/>
    <xdr:pic>
      <xdr:nvPicPr>
        <xdr:cNvPr id="173" name="Picture 40" descr="UK2.jpg">
          <a:extLst>
            <a:ext uri="{FF2B5EF4-FFF2-40B4-BE49-F238E27FC236}">
              <a16:creationId xmlns:a16="http://schemas.microsoft.com/office/drawing/2014/main" id="{897060B6-2222-41BB-822B-EF000D25D05F}"/>
            </a:ext>
          </a:extLst>
        </xdr:cNvPr>
        <xdr:cNvPicPr>
          <a:picLocks noChangeAspect="1"/>
        </xdr:cNvPicPr>
      </xdr:nvPicPr>
      <xdr:blipFill>
        <a:blip xmlns:r="http://schemas.openxmlformats.org/officeDocument/2006/relationships" r:embed="rId1"/>
        <a:srcRect/>
        <a:stretch>
          <a:fillRect/>
        </a:stretch>
      </xdr:blipFill>
      <xdr:spPr>
        <a:xfrm>
          <a:off x="5179219" y="21941518"/>
          <a:ext cx="230136" cy="134279"/>
        </a:xfrm>
        <a:prstGeom prst="rect">
          <a:avLst/>
        </a:prstGeom>
        <a:noFill/>
        <a:ln cap="flat">
          <a:noFill/>
        </a:ln>
      </xdr:spPr>
    </xdr:pic>
    <xdr:clientData/>
  </xdr:oneCellAnchor>
  <xdr:oneCellAnchor>
    <xdr:from>
      <xdr:col>9</xdr:col>
      <xdr:colOff>0</xdr:colOff>
      <xdr:row>123</xdr:row>
      <xdr:rowOff>0</xdr:rowOff>
    </xdr:from>
    <xdr:ext cx="230136" cy="134279"/>
    <xdr:pic>
      <xdr:nvPicPr>
        <xdr:cNvPr id="174" name="Picture 40" descr="UK2.jpg">
          <a:extLst>
            <a:ext uri="{FF2B5EF4-FFF2-40B4-BE49-F238E27FC236}">
              <a16:creationId xmlns:a16="http://schemas.microsoft.com/office/drawing/2014/main" id="{746AD1C6-3855-4EDF-9174-49619C623E35}"/>
            </a:ext>
          </a:extLst>
        </xdr:cNvPr>
        <xdr:cNvPicPr>
          <a:picLocks noChangeAspect="1"/>
        </xdr:cNvPicPr>
      </xdr:nvPicPr>
      <xdr:blipFill>
        <a:blip xmlns:r="http://schemas.openxmlformats.org/officeDocument/2006/relationships" r:embed="rId1"/>
        <a:srcRect/>
        <a:stretch>
          <a:fillRect/>
        </a:stretch>
      </xdr:blipFill>
      <xdr:spPr>
        <a:xfrm>
          <a:off x="5179219" y="14347031"/>
          <a:ext cx="230136" cy="134279"/>
        </a:xfrm>
        <a:prstGeom prst="rect">
          <a:avLst/>
        </a:prstGeom>
        <a:noFill/>
        <a:ln cap="flat">
          <a:noFill/>
        </a:ln>
      </xdr:spPr>
    </xdr:pic>
    <xdr:clientData/>
  </xdr:oneCellAnchor>
  <xdr:oneCellAnchor>
    <xdr:from>
      <xdr:col>13</xdr:col>
      <xdr:colOff>0</xdr:colOff>
      <xdr:row>312</xdr:row>
      <xdr:rowOff>0</xdr:rowOff>
    </xdr:from>
    <xdr:ext cx="156636" cy="134105"/>
    <xdr:pic>
      <xdr:nvPicPr>
        <xdr:cNvPr id="177" name="Picture 1">
          <a:extLst>
            <a:ext uri="{FF2B5EF4-FFF2-40B4-BE49-F238E27FC236}">
              <a16:creationId xmlns:a16="http://schemas.microsoft.com/office/drawing/2014/main" id="{4EBA7BFE-5BC6-46C8-B4DF-E48D5EB2354E}"/>
            </a:ext>
          </a:extLst>
        </xdr:cNvPr>
        <xdr:cNvPicPr>
          <a:picLocks noChangeAspect="1"/>
        </xdr:cNvPicPr>
      </xdr:nvPicPr>
      <xdr:blipFill>
        <a:blip xmlns:r="http://schemas.openxmlformats.org/officeDocument/2006/relationships" r:embed="rId2"/>
        <a:srcRect/>
        <a:stretch>
          <a:fillRect/>
        </a:stretch>
      </xdr:blipFill>
      <xdr:spPr>
        <a:xfrm>
          <a:off x="6199909" y="21864205"/>
          <a:ext cx="156636" cy="134105"/>
        </a:xfrm>
        <a:prstGeom prst="rect">
          <a:avLst/>
        </a:prstGeom>
        <a:noFill/>
        <a:ln cap="flat">
          <a:noFill/>
        </a:ln>
      </xdr:spPr>
    </xdr:pic>
    <xdr:clientData/>
  </xdr:oneCellAnchor>
  <xdr:oneCellAnchor>
    <xdr:from>
      <xdr:col>13</xdr:col>
      <xdr:colOff>0</xdr:colOff>
      <xdr:row>763</xdr:row>
      <xdr:rowOff>0</xdr:rowOff>
    </xdr:from>
    <xdr:ext cx="156636" cy="134105"/>
    <xdr:pic>
      <xdr:nvPicPr>
        <xdr:cNvPr id="118" name="Picture 1">
          <a:extLst>
            <a:ext uri="{FF2B5EF4-FFF2-40B4-BE49-F238E27FC236}">
              <a16:creationId xmlns:a16="http://schemas.microsoft.com/office/drawing/2014/main" id="{F03202F1-BE91-4AD6-A012-3C28E3850657}"/>
            </a:ext>
          </a:extLst>
        </xdr:cNvPr>
        <xdr:cNvPicPr>
          <a:picLocks noChangeAspect="1"/>
        </xdr:cNvPicPr>
      </xdr:nvPicPr>
      <xdr:blipFill>
        <a:blip xmlns:r="http://schemas.openxmlformats.org/officeDocument/2006/relationships" r:embed="rId2"/>
        <a:srcRect/>
        <a:stretch>
          <a:fillRect/>
        </a:stretch>
      </xdr:blipFill>
      <xdr:spPr>
        <a:xfrm>
          <a:off x="6009409" y="37485205"/>
          <a:ext cx="156636" cy="134105"/>
        </a:xfrm>
        <a:prstGeom prst="rect">
          <a:avLst/>
        </a:prstGeom>
        <a:noFill/>
        <a:ln cap="flat">
          <a:noFill/>
        </a:ln>
      </xdr:spPr>
    </xdr:pic>
    <xdr:clientData/>
  </xdr:oneCellAnchor>
  <xdr:oneCellAnchor>
    <xdr:from>
      <xdr:col>9</xdr:col>
      <xdr:colOff>0</xdr:colOff>
      <xdr:row>126</xdr:row>
      <xdr:rowOff>0</xdr:rowOff>
    </xdr:from>
    <xdr:ext cx="230136" cy="134279"/>
    <xdr:pic>
      <xdr:nvPicPr>
        <xdr:cNvPr id="164" name="Picture 40" descr="UK2.jpg">
          <a:extLst>
            <a:ext uri="{FF2B5EF4-FFF2-40B4-BE49-F238E27FC236}">
              <a16:creationId xmlns:a16="http://schemas.microsoft.com/office/drawing/2014/main" id="{9CD9FFDE-FE67-4FB8-A549-F341C44DE454}"/>
            </a:ext>
          </a:extLst>
        </xdr:cNvPr>
        <xdr:cNvPicPr>
          <a:picLocks noChangeAspect="1"/>
        </xdr:cNvPicPr>
      </xdr:nvPicPr>
      <xdr:blipFill>
        <a:blip xmlns:r="http://schemas.openxmlformats.org/officeDocument/2006/relationships" r:embed="rId1"/>
        <a:srcRect/>
        <a:stretch>
          <a:fillRect/>
        </a:stretch>
      </xdr:blipFill>
      <xdr:spPr>
        <a:xfrm>
          <a:off x="5172075" y="12849225"/>
          <a:ext cx="230136" cy="134279"/>
        </a:xfrm>
        <a:prstGeom prst="rect">
          <a:avLst/>
        </a:prstGeom>
        <a:noFill/>
        <a:ln cap="flat">
          <a:noFill/>
        </a:ln>
      </xdr:spPr>
    </xdr:pic>
    <xdr:clientData/>
  </xdr:oneCellAnchor>
  <xdr:oneCellAnchor>
    <xdr:from>
      <xdr:col>9</xdr:col>
      <xdr:colOff>0</xdr:colOff>
      <xdr:row>182</xdr:row>
      <xdr:rowOff>0</xdr:rowOff>
    </xdr:from>
    <xdr:ext cx="230136" cy="134279"/>
    <xdr:pic>
      <xdr:nvPicPr>
        <xdr:cNvPr id="136" name="Picture 40" descr="UK2.jpg">
          <a:extLst>
            <a:ext uri="{FF2B5EF4-FFF2-40B4-BE49-F238E27FC236}">
              <a16:creationId xmlns:a16="http://schemas.microsoft.com/office/drawing/2014/main" id="{F0E3C938-5E40-447B-BF63-7149D697D638}"/>
            </a:ext>
          </a:extLst>
        </xdr:cNvPr>
        <xdr:cNvPicPr>
          <a:picLocks noChangeAspect="1"/>
        </xdr:cNvPicPr>
      </xdr:nvPicPr>
      <xdr:blipFill>
        <a:blip xmlns:r="http://schemas.openxmlformats.org/officeDocument/2006/relationships" r:embed="rId1"/>
        <a:srcRect/>
        <a:stretch>
          <a:fillRect/>
        </a:stretch>
      </xdr:blipFill>
      <xdr:spPr>
        <a:xfrm>
          <a:off x="5186795" y="14478000"/>
          <a:ext cx="230136" cy="134279"/>
        </a:xfrm>
        <a:prstGeom prst="rect">
          <a:avLst/>
        </a:prstGeom>
        <a:noFill/>
        <a:ln cap="flat">
          <a:noFill/>
        </a:ln>
      </xdr:spPr>
    </xdr:pic>
    <xdr:clientData/>
  </xdr:oneCellAnchor>
  <xdr:oneCellAnchor>
    <xdr:from>
      <xdr:col>13</xdr:col>
      <xdr:colOff>0</xdr:colOff>
      <xdr:row>467</xdr:row>
      <xdr:rowOff>0</xdr:rowOff>
    </xdr:from>
    <xdr:ext cx="156636" cy="134105"/>
    <xdr:pic>
      <xdr:nvPicPr>
        <xdr:cNvPr id="102" name="Picture 1">
          <a:extLst>
            <a:ext uri="{FF2B5EF4-FFF2-40B4-BE49-F238E27FC236}">
              <a16:creationId xmlns:a16="http://schemas.microsoft.com/office/drawing/2014/main" id="{B64C4F12-B347-4C6E-A0D7-C0A7C4140F5C}"/>
            </a:ext>
          </a:extLst>
        </xdr:cNvPr>
        <xdr:cNvPicPr>
          <a:picLocks noChangeAspect="1"/>
        </xdr:cNvPicPr>
      </xdr:nvPicPr>
      <xdr:blipFill>
        <a:blip xmlns:r="http://schemas.openxmlformats.org/officeDocument/2006/relationships" r:embed="rId2"/>
        <a:srcRect/>
        <a:stretch>
          <a:fillRect/>
        </a:stretch>
      </xdr:blipFill>
      <xdr:spPr>
        <a:xfrm>
          <a:off x="6000750" y="23679150"/>
          <a:ext cx="156636" cy="134105"/>
        </a:xfrm>
        <a:prstGeom prst="rect">
          <a:avLst/>
        </a:prstGeom>
        <a:noFill/>
        <a:ln cap="flat">
          <a:noFill/>
        </a:ln>
      </xdr:spPr>
    </xdr:pic>
    <xdr:clientData/>
  </xdr:oneCellAnchor>
  <xdr:oneCellAnchor>
    <xdr:from>
      <xdr:col>13</xdr:col>
      <xdr:colOff>0</xdr:colOff>
      <xdr:row>468</xdr:row>
      <xdr:rowOff>0</xdr:rowOff>
    </xdr:from>
    <xdr:ext cx="156636" cy="134105"/>
    <xdr:pic>
      <xdr:nvPicPr>
        <xdr:cNvPr id="106" name="Picture 1">
          <a:extLst>
            <a:ext uri="{FF2B5EF4-FFF2-40B4-BE49-F238E27FC236}">
              <a16:creationId xmlns:a16="http://schemas.microsoft.com/office/drawing/2014/main" id="{115EC122-A795-423D-8F2D-D1E4EC853FD4}"/>
            </a:ext>
          </a:extLst>
        </xdr:cNvPr>
        <xdr:cNvPicPr>
          <a:picLocks noChangeAspect="1"/>
        </xdr:cNvPicPr>
      </xdr:nvPicPr>
      <xdr:blipFill>
        <a:blip xmlns:r="http://schemas.openxmlformats.org/officeDocument/2006/relationships" r:embed="rId2"/>
        <a:srcRect/>
        <a:stretch>
          <a:fillRect/>
        </a:stretch>
      </xdr:blipFill>
      <xdr:spPr>
        <a:xfrm>
          <a:off x="6000750" y="23812500"/>
          <a:ext cx="156636" cy="134105"/>
        </a:xfrm>
        <a:prstGeom prst="rect">
          <a:avLst/>
        </a:prstGeom>
        <a:noFill/>
        <a:ln cap="flat">
          <a:noFill/>
        </a:ln>
      </xdr:spPr>
    </xdr:pic>
    <xdr:clientData/>
  </xdr:oneCellAnchor>
  <xdr:oneCellAnchor>
    <xdr:from>
      <xdr:col>9</xdr:col>
      <xdr:colOff>0</xdr:colOff>
      <xdr:row>441</xdr:row>
      <xdr:rowOff>0</xdr:rowOff>
    </xdr:from>
    <xdr:ext cx="230136" cy="134279"/>
    <xdr:pic>
      <xdr:nvPicPr>
        <xdr:cNvPr id="120" name="Picture 40" descr="UK2.jpg">
          <a:extLst>
            <a:ext uri="{FF2B5EF4-FFF2-40B4-BE49-F238E27FC236}">
              <a16:creationId xmlns:a16="http://schemas.microsoft.com/office/drawing/2014/main" id="{47C8D7B7-2D52-4CF7-B070-C168744754B6}"/>
            </a:ext>
          </a:extLst>
        </xdr:cNvPr>
        <xdr:cNvPicPr>
          <a:picLocks noChangeAspect="1"/>
        </xdr:cNvPicPr>
      </xdr:nvPicPr>
      <xdr:blipFill>
        <a:blip xmlns:r="http://schemas.openxmlformats.org/officeDocument/2006/relationships" r:embed="rId1"/>
        <a:srcRect/>
        <a:stretch>
          <a:fillRect/>
        </a:stretch>
      </xdr:blipFill>
      <xdr:spPr>
        <a:xfrm>
          <a:off x="5172075" y="23250525"/>
          <a:ext cx="230136" cy="134279"/>
        </a:xfrm>
        <a:prstGeom prst="rect">
          <a:avLst/>
        </a:prstGeom>
        <a:noFill/>
        <a:ln cap="flat">
          <a:noFill/>
        </a:ln>
      </xdr:spPr>
    </xdr:pic>
    <xdr:clientData/>
  </xdr:oneCellAnchor>
  <xdr:oneCellAnchor>
    <xdr:from>
      <xdr:col>9</xdr:col>
      <xdr:colOff>0</xdr:colOff>
      <xdr:row>267</xdr:row>
      <xdr:rowOff>0</xdr:rowOff>
    </xdr:from>
    <xdr:ext cx="230136" cy="134279"/>
    <xdr:pic>
      <xdr:nvPicPr>
        <xdr:cNvPr id="124" name="Picture 40" descr="UK2.jpg">
          <a:extLst>
            <a:ext uri="{FF2B5EF4-FFF2-40B4-BE49-F238E27FC236}">
              <a16:creationId xmlns:a16="http://schemas.microsoft.com/office/drawing/2014/main" id="{C8D4E9AE-52EF-4313-B43A-D009DEFDCE82}"/>
            </a:ext>
          </a:extLst>
        </xdr:cNvPr>
        <xdr:cNvPicPr>
          <a:picLocks noChangeAspect="1"/>
        </xdr:cNvPicPr>
      </xdr:nvPicPr>
      <xdr:blipFill>
        <a:blip xmlns:r="http://schemas.openxmlformats.org/officeDocument/2006/relationships" r:embed="rId1"/>
        <a:srcRect/>
        <a:stretch>
          <a:fillRect/>
        </a:stretch>
      </xdr:blipFill>
      <xdr:spPr>
        <a:xfrm>
          <a:off x="5172075" y="16383000"/>
          <a:ext cx="230136" cy="134279"/>
        </a:xfrm>
        <a:prstGeom prst="rect">
          <a:avLst/>
        </a:prstGeom>
        <a:noFill/>
        <a:ln cap="flat">
          <a:noFill/>
        </a:ln>
      </xdr:spPr>
    </xdr:pic>
    <xdr:clientData/>
  </xdr:oneCellAnchor>
  <xdr:oneCellAnchor>
    <xdr:from>
      <xdr:col>9</xdr:col>
      <xdr:colOff>0</xdr:colOff>
      <xdr:row>92</xdr:row>
      <xdr:rowOff>0</xdr:rowOff>
    </xdr:from>
    <xdr:ext cx="230136" cy="134279"/>
    <xdr:pic>
      <xdr:nvPicPr>
        <xdr:cNvPr id="91" name="Picture 40" descr="UK2.jpg">
          <a:extLst>
            <a:ext uri="{FF2B5EF4-FFF2-40B4-BE49-F238E27FC236}">
              <a16:creationId xmlns:a16="http://schemas.microsoft.com/office/drawing/2014/main" id="{256C9F13-72CA-4201-8CA9-09CCD3FED53A}"/>
            </a:ext>
          </a:extLst>
        </xdr:cNvPr>
        <xdr:cNvPicPr>
          <a:picLocks noChangeAspect="1"/>
        </xdr:cNvPicPr>
      </xdr:nvPicPr>
      <xdr:blipFill>
        <a:blip xmlns:r="http://schemas.openxmlformats.org/officeDocument/2006/relationships" r:embed="rId1"/>
        <a:srcRect/>
        <a:stretch>
          <a:fillRect/>
        </a:stretch>
      </xdr:blipFill>
      <xdr:spPr>
        <a:xfrm>
          <a:off x="5169477" y="11581534"/>
          <a:ext cx="230136" cy="134279"/>
        </a:xfrm>
        <a:prstGeom prst="rect">
          <a:avLst/>
        </a:prstGeom>
        <a:noFill/>
        <a:ln cap="flat">
          <a:noFill/>
        </a:ln>
      </xdr:spPr>
    </xdr:pic>
    <xdr:clientData/>
  </xdr:oneCellAnchor>
  <xdr:oneCellAnchor>
    <xdr:from>
      <xdr:col>9</xdr:col>
      <xdr:colOff>843</xdr:colOff>
      <xdr:row>107</xdr:row>
      <xdr:rowOff>138545</xdr:rowOff>
    </xdr:from>
    <xdr:ext cx="230136" cy="134279"/>
    <xdr:pic>
      <xdr:nvPicPr>
        <xdr:cNvPr id="150" name="Picture 40" descr="UK2.jpg">
          <a:extLst>
            <a:ext uri="{FF2B5EF4-FFF2-40B4-BE49-F238E27FC236}">
              <a16:creationId xmlns:a16="http://schemas.microsoft.com/office/drawing/2014/main" id="{3A78D4B9-D65C-449D-9CBD-BC48EE8BE27D}"/>
            </a:ext>
          </a:extLst>
        </xdr:cNvPr>
        <xdr:cNvPicPr>
          <a:picLocks noChangeAspect="1"/>
        </xdr:cNvPicPr>
      </xdr:nvPicPr>
      <xdr:blipFill>
        <a:blip xmlns:r="http://schemas.openxmlformats.org/officeDocument/2006/relationships" r:embed="rId1"/>
        <a:srcRect/>
        <a:stretch>
          <a:fillRect/>
        </a:stretch>
      </xdr:blipFill>
      <xdr:spPr>
        <a:xfrm>
          <a:off x="5170320" y="11862954"/>
          <a:ext cx="230136" cy="134279"/>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55"/>
  <sheetViews>
    <sheetView tabSelected="1" topLeftCell="B735" zoomScale="120" zoomScaleNormal="120" zoomScaleSheetLayoutView="110" workbookViewId="0">
      <selection activeCell="K899" sqref="K899"/>
    </sheetView>
  </sheetViews>
  <sheetFormatPr defaultColWidth="8.85546875" defaultRowHeight="15" x14ac:dyDescent="0.25"/>
  <cols>
    <col min="1" max="1" width="10.28515625" style="1" hidden="1" customWidth="1"/>
    <col min="2" max="2" width="5.140625" style="2" customWidth="1"/>
    <col min="3" max="3" width="3.5703125" style="2" customWidth="1"/>
    <col min="4" max="4" width="11.85546875" style="2" customWidth="1"/>
    <col min="5" max="5" width="5.7109375" style="2" customWidth="1"/>
    <col min="6" max="6" width="6.7109375" style="2" customWidth="1"/>
    <col min="7" max="7" width="11" style="2" customWidth="1"/>
    <col min="8" max="8" width="29.28515625" style="2" customWidth="1"/>
    <col min="9" max="9" width="4.28515625" style="2" customWidth="1"/>
    <col min="10" max="10" width="3.42578125" style="2" customWidth="1"/>
    <col min="11" max="11" width="2.28515625" style="2" customWidth="1"/>
    <col min="12" max="12" width="2.85546875" style="2" customWidth="1"/>
    <col min="13" max="13" width="3.7109375" style="3" customWidth="1"/>
    <col min="14" max="14" width="1.5703125" style="2" customWidth="1"/>
    <col min="15" max="15" width="5.5703125" style="2" customWidth="1"/>
    <col min="16" max="16" width="7.7109375" style="5" customWidth="1"/>
    <col min="17" max="17" width="24" style="5" customWidth="1"/>
    <col min="18" max="18" width="6" style="5" customWidth="1"/>
    <col min="19" max="19" width="5.5703125" style="5" customWidth="1"/>
    <col min="20" max="20" width="8.5703125" style="5" customWidth="1"/>
    <col min="21" max="21" width="12.140625" style="5" customWidth="1"/>
    <col min="22" max="22" width="9.28515625" style="5" customWidth="1"/>
    <col min="23" max="23" width="8.85546875" style="5" customWidth="1"/>
    <col min="24" max="30" width="8.85546875" style="6" customWidth="1"/>
    <col min="31" max="31" width="4.42578125" style="6" customWidth="1"/>
    <col min="32" max="32" width="8.85546875" style="6" customWidth="1"/>
    <col min="33" max="33" width="4.42578125" style="6" customWidth="1"/>
    <col min="34" max="34" width="8.85546875" style="6" customWidth="1"/>
    <col min="35" max="35" width="8.85546875" style="6" bestFit="1" customWidth="1"/>
    <col min="36" max="36" width="3.42578125" style="6" bestFit="1" customWidth="1"/>
    <col min="37" max="37" width="3.42578125" style="6" customWidth="1"/>
    <col min="38" max="38" width="6.28515625" style="6" bestFit="1" customWidth="1"/>
    <col min="39" max="39" width="6.28515625" style="6" customWidth="1"/>
    <col min="40" max="40" width="9.7109375" style="6" bestFit="1" customWidth="1"/>
    <col min="41" max="41" width="3.42578125" style="6" customWidth="1"/>
    <col min="42" max="42" width="5.42578125" style="6" customWidth="1"/>
    <col min="43" max="43" width="6.7109375" style="6" customWidth="1"/>
    <col min="44" max="44" width="8.85546875" style="6" customWidth="1"/>
    <col min="45" max="45" width="6.28515625" style="6" customWidth="1"/>
    <col min="46" max="47" width="8.85546875" style="6" customWidth="1"/>
    <col min="48" max="49" width="4.28515625" style="6" customWidth="1"/>
    <col min="50" max="50" width="2.7109375" style="6" bestFit="1" customWidth="1"/>
    <col min="51" max="51" width="2.140625" style="6" bestFit="1" customWidth="1"/>
    <col min="52" max="52" width="8.85546875" style="6" customWidth="1"/>
    <col min="53" max="53" width="4.7109375" style="6" customWidth="1"/>
    <col min="54" max="54" width="4.5703125" style="6" customWidth="1"/>
    <col min="55" max="58" width="8.85546875" style="6" customWidth="1"/>
    <col min="59" max="60" width="4.85546875" style="6" customWidth="1"/>
    <col min="61" max="64" width="8.85546875" style="5" customWidth="1"/>
    <col min="65" max="65" width="8.85546875" style="2" customWidth="1"/>
    <col min="66" max="16384" width="8.85546875" style="2"/>
  </cols>
  <sheetData>
    <row r="1" spans="1:66" x14ac:dyDescent="0.25">
      <c r="B1" s="2" t="str">
        <f>"Trolley"&amp;IF(R3&gt;2,Q9," 1")&amp;": "&amp;IF(R3=1,Q6,100)&amp;"% Full"&amp;IF(R3&gt;1,", Trolley "&amp;IF(R3=1,2,R3)&amp;": "&amp;IF(R3=1,0,Q7)&amp;"% Full","")</f>
        <v>Trolley 1: 0% Full</v>
      </c>
      <c r="F1" s="2" t="str">
        <f>IF(E4="","Please don't forget to enter your centre name","")</f>
        <v>Please don't forget to enter your centre name</v>
      </c>
      <c r="O1" s="4"/>
      <c r="AU1" s="7"/>
      <c r="AV1" s="7"/>
      <c r="AW1" s="7"/>
      <c r="AX1" s="7"/>
      <c r="AY1" s="7"/>
      <c r="AZ1" s="7"/>
      <c r="BA1" s="7"/>
      <c r="BB1" s="7"/>
      <c r="BC1" s="7"/>
      <c r="BD1" s="7"/>
      <c r="BE1" s="7"/>
      <c r="BF1" s="7"/>
    </row>
    <row r="2" spans="1:66" ht="15" customHeight="1" x14ac:dyDescent="0.25">
      <c r="B2" s="1218" t="s">
        <v>0</v>
      </c>
      <c r="C2" s="1218"/>
      <c r="D2" s="1218"/>
      <c r="E2" s="1218"/>
      <c r="F2" s="1218"/>
      <c r="G2" s="1218"/>
      <c r="H2" s="1218"/>
      <c r="I2" s="1218"/>
      <c r="J2" s="1218"/>
      <c r="K2" s="1218"/>
      <c r="L2" s="8"/>
      <c r="M2" s="8"/>
      <c r="N2" s="8"/>
      <c r="O2" s="8"/>
      <c r="P2" s="9"/>
      <c r="Q2" s="10"/>
      <c r="R2" s="10"/>
      <c r="S2" s="10"/>
      <c r="T2" s="10"/>
      <c r="U2" s="10"/>
      <c r="V2" s="10"/>
      <c r="W2" s="10"/>
      <c r="X2" s="10" t="s">
        <v>1</v>
      </c>
      <c r="Y2" s="10" t="s">
        <v>1</v>
      </c>
      <c r="Z2" s="10"/>
      <c r="AA2" s="10" t="s">
        <v>2</v>
      </c>
      <c r="AB2" s="11">
        <f>AB3-AA3</f>
        <v>0</v>
      </c>
      <c r="AC2" s="10" t="s">
        <v>3</v>
      </c>
      <c r="AD2" s="10" t="s">
        <v>4</v>
      </c>
      <c r="AE2" s="12" t="s">
        <v>5</v>
      </c>
      <c r="AF2" s="12" t="s">
        <v>6</v>
      </c>
      <c r="AG2" s="12" t="s">
        <v>7</v>
      </c>
      <c r="AH2" s="12" t="s">
        <v>8</v>
      </c>
      <c r="AI2" s="12" t="s">
        <v>6</v>
      </c>
      <c r="AJ2" s="12"/>
      <c r="AK2" s="12"/>
      <c r="AL2" s="12"/>
      <c r="AM2" s="12"/>
      <c r="AN2" s="12" t="s">
        <v>9</v>
      </c>
      <c r="AO2" s="1161" t="s">
        <v>6</v>
      </c>
      <c r="AP2" s="1161"/>
      <c r="AQ2" s="12" t="s">
        <v>10</v>
      </c>
      <c r="AR2" s="12" t="s">
        <v>6</v>
      </c>
      <c r="AS2" s="12" t="s">
        <v>11</v>
      </c>
      <c r="AT2" s="12" t="s">
        <v>12</v>
      </c>
      <c r="AU2" s="12" t="s">
        <v>6</v>
      </c>
      <c r="AV2" s="12"/>
      <c r="AW2" s="12"/>
      <c r="AX2" s="12"/>
      <c r="AY2" s="12"/>
      <c r="AZ2" s="12" t="s">
        <v>13</v>
      </c>
      <c r="BA2" s="1161" t="s">
        <v>6</v>
      </c>
      <c r="BB2" s="1161"/>
      <c r="BC2" s="12" t="s">
        <v>14</v>
      </c>
      <c r="BD2" s="12" t="s">
        <v>6</v>
      </c>
      <c r="BE2" s="12" t="s">
        <v>15</v>
      </c>
      <c r="BF2" s="12" t="s">
        <v>16</v>
      </c>
      <c r="BG2" s="1161" t="s">
        <v>6</v>
      </c>
      <c r="BH2" s="1161"/>
      <c r="BM2" s="1"/>
      <c r="BN2" s="1"/>
    </row>
    <row r="3" spans="1:66" ht="13.5" customHeight="1" x14ac:dyDescent="0.25">
      <c r="A3" s="13"/>
      <c r="B3" s="1218"/>
      <c r="C3" s="1218"/>
      <c r="D3" s="1218"/>
      <c r="E3" s="1218"/>
      <c r="F3" s="1218"/>
      <c r="G3" s="1218"/>
      <c r="H3" s="1218"/>
      <c r="I3" s="1218"/>
      <c r="J3" s="1218"/>
      <c r="K3" s="1218"/>
      <c r="L3" s="8"/>
      <c r="M3" s="8"/>
      <c r="N3" s="8"/>
      <c r="O3" s="8"/>
      <c r="P3" s="14"/>
      <c r="Q3" s="15" t="s">
        <v>17</v>
      </c>
      <c r="R3" s="16">
        <f>IF(AO15=0,1,IF(BA15=0,2,IF(BG15=0,3,4)))</f>
        <v>1</v>
      </c>
      <c r="S3" s="10"/>
      <c r="T3" s="10"/>
      <c r="U3" s="15" t="s">
        <v>18</v>
      </c>
      <c r="V3" s="10">
        <f>IF(BF16&gt;0,BF17,IF(AZ16&gt;0,AQ16-AZ15,AE16-AH15))</f>
        <v>180</v>
      </c>
      <c r="W3" s="10"/>
      <c r="X3" s="17" t="s">
        <v>19</v>
      </c>
      <c r="Y3" s="10">
        <v>25</v>
      </c>
      <c r="Z3" s="11">
        <f>SUMIFS(U$32:U$1294,S$32:S$1294,$Y3)</f>
        <v>0</v>
      </c>
      <c r="AA3" s="10">
        <f>IF(AB3&gt;0.001,ROUNDUP(AB3,0),0)</f>
        <v>0</v>
      </c>
      <c r="AB3" s="11">
        <f>AB4+Z3-AA4</f>
        <v>0</v>
      </c>
      <c r="AC3" s="10">
        <f>$Y3*AA3</f>
        <v>0</v>
      </c>
      <c r="AD3" s="10">
        <f>IF(SUM(AD4:AD$11)=0,IF(AC3&gt;0,$Y3,0),0)</f>
        <v>0</v>
      </c>
      <c r="AE3" s="10">
        <f>IF((IF(SUM(AE4:AE$11)=0,IF(AA3&gt;0,1,0),0)+IF(AC3&lt;AE15,AA3,0))&gt;AA3,AA3,IF(SUM(AE4:AE$11)=0,IF(AA3&gt;0,1,0),0)+IF(AC3&lt;AE15,AA3,0))</f>
        <v>0</v>
      </c>
      <c r="AF3" s="10">
        <f>AA3-AE3</f>
        <v>0</v>
      </c>
      <c r="AG3" s="10">
        <f>IF(AF3&gt;0,ROUNDDOWN(AG$15/$Y3,0),0)</f>
        <v>0</v>
      </c>
      <c r="AH3" s="10">
        <f>AG3+AE3</f>
        <v>0</v>
      </c>
      <c r="AI3" s="12">
        <f>(AA3-AH3)</f>
        <v>0</v>
      </c>
      <c r="AJ3" s="10">
        <v>0</v>
      </c>
      <c r="AK3" s="10">
        <f>AJ3</f>
        <v>0</v>
      </c>
      <c r="AL3" s="10">
        <f>IF(AND(AH$17&gt;0,AI16&gt;0,AH3&gt;0),-1,0)</f>
        <v>0</v>
      </c>
      <c r="AM3" s="10">
        <f>IF(AND(SUM(AM4:AM$11)=0,AH$17&gt;0,AI$16&gt;0),IF(AH$17+1&gt;AK3,1,0),0)</f>
        <v>0</v>
      </c>
      <c r="AN3" s="10">
        <f>AH3+AL3+AM3</f>
        <v>0</v>
      </c>
      <c r="AO3" s="10">
        <f>AA3-AN3</f>
        <v>0</v>
      </c>
      <c r="AP3" s="10">
        <f>(AA3-AN3)*$Y3</f>
        <v>0</v>
      </c>
      <c r="AQ3" s="10">
        <f>IF(AP$15&lt;AQ$15,AO3,IF(SUM(AQ4:AQ$11)=0,IF(AO3&gt;0,1,0),0)+IF(SUM(AP$3:AP3)&lt;AQ$15,AO3-IF(AND(SUM(AQ4:AQ$11)=0,AO3&gt;0),1,0),0))</f>
        <v>0</v>
      </c>
      <c r="AR3" s="10">
        <f>AO3-AQ3</f>
        <v>0</v>
      </c>
      <c r="AS3" s="10">
        <f>IF(AR3&gt;0,ROUNDDOWN(AS$15/$Y3,0),0)</f>
        <v>0</v>
      </c>
      <c r="AT3" s="10">
        <f>AS3+AQ3</f>
        <v>0</v>
      </c>
      <c r="AU3" s="10">
        <f>AO3-AT3</f>
        <v>0</v>
      </c>
      <c r="AV3" s="10">
        <v>0</v>
      </c>
      <c r="AW3" s="10">
        <f>AV3</f>
        <v>0</v>
      </c>
      <c r="AX3" s="10">
        <f>IF(AND(AT$17&gt;0,AU16&gt;0,AT3&gt;0),-1,0)</f>
        <v>0</v>
      </c>
      <c r="AY3" s="10">
        <f>IF(AND(SUM(AY4:AY$11)=0,AT$17&gt;0,AU$16&gt;0),IF(AT$17+1&gt;AW3,1,0),0)</f>
        <v>0</v>
      </c>
      <c r="AZ3" s="10">
        <f>AT3+AX3+AY3</f>
        <v>0</v>
      </c>
      <c r="BA3" s="10">
        <f>AO3-AZ3</f>
        <v>0</v>
      </c>
      <c r="BB3" s="10">
        <f>BA3*$Y3</f>
        <v>0</v>
      </c>
      <c r="BC3" s="10">
        <f>IF(BB$15&lt;BC$15,BA3,IF(SUM(BC4:BC$11)=0,IF(BA3&gt;0,1,0),0)+IF(SUM(BB$3:BB3)&lt;BC$15,BA3-IF(AND(SUM(BC4:BC$11)=0,BA3&gt;0),1,0),0))</f>
        <v>0</v>
      </c>
      <c r="BD3" s="10">
        <f>BA3-BC3</f>
        <v>0</v>
      </c>
      <c r="BE3" s="10">
        <f>IF(BD3&gt;0,ROUNDDOWN(BE$15/$Y3,0),0)</f>
        <v>0</v>
      </c>
      <c r="BF3" s="10">
        <f>BE3+BC3</f>
        <v>0</v>
      </c>
      <c r="BG3" s="10">
        <f>BA3-BF3</f>
        <v>0</v>
      </c>
      <c r="BH3" s="10">
        <f>BG3*$Y3</f>
        <v>0</v>
      </c>
      <c r="BM3" s="1"/>
      <c r="BN3" s="1"/>
    </row>
    <row r="4" spans="1:66" ht="19.5" customHeight="1" x14ac:dyDescent="0.25">
      <c r="B4" s="18" t="s">
        <v>20</v>
      </c>
      <c r="C4" s="19"/>
      <c r="D4" s="20"/>
      <c r="E4" s="1208"/>
      <c r="F4" s="1208"/>
      <c r="G4" s="1208"/>
      <c r="H4" s="1208"/>
      <c r="I4" s="1208"/>
      <c r="J4" s="1208"/>
      <c r="K4" s="1208"/>
      <c r="L4" s="21"/>
      <c r="M4" s="21"/>
      <c r="N4" s="22"/>
      <c r="O4" s="23"/>
      <c r="P4" s="24"/>
      <c r="Q4" s="15" t="s">
        <v>21</v>
      </c>
      <c r="R4" s="25">
        <f>AA15</f>
        <v>0</v>
      </c>
      <c r="S4" s="10"/>
      <c r="T4" s="10"/>
      <c r="U4" s="15" t="s">
        <v>22</v>
      </c>
      <c r="V4" s="15" t="str">
        <f>IF(ROUNDDOWN(V3/Y3,0)=0,0,IF(ROUNDDOWN(V3/Y11,0)=0,"up to ",ROUNDDOWN(V3/Y11,0)&amp;" - ")&amp;ROUNDDOWN(V3/Y3,0))</f>
        <v>3 - 7</v>
      </c>
      <c r="W4" s="10"/>
      <c r="X4" s="17" t="s">
        <v>19</v>
      </c>
      <c r="Y4" s="10">
        <v>30</v>
      </c>
      <c r="Z4" s="11">
        <f>SUMIFS(U$32:U$1294,S$32:S$1294,Y4)</f>
        <v>0</v>
      </c>
      <c r="AA4" s="10">
        <f>IF(AB4&gt;0.001,ROUNDUP(AB4,0),0)</f>
        <v>0</v>
      </c>
      <c r="AB4" s="11">
        <f>AB5+Z4-AA5</f>
        <v>0</v>
      </c>
      <c r="AC4" s="10">
        <f>Y4*AA4</f>
        <v>0</v>
      </c>
      <c r="AD4" s="10">
        <f>IF(SUM(AD5:AD$11)=0,IF(AC4&gt;0,Y4,0),0)</f>
        <v>0</v>
      </c>
      <c r="AE4" s="10">
        <f>IF((IF(SUM(AE5:AE$11)=0,IF(AA4&gt;0,1,0),0)+IF(SUM(AC$3:AC4)&lt;AE$15,AA4,0))&gt;AA4,AA4,IF(SUM(AE5:AE$11)=0,IF(AA4&gt;0,1,0),0)+IF(SUM(AC$3:AC4)&lt;AE$15,AA4,0))</f>
        <v>0</v>
      </c>
      <c r="AF4" s="10">
        <f>AA4-AE4</f>
        <v>0</v>
      </c>
      <c r="AG4" s="10">
        <f>IF(SUM(AG$3:AG3)&gt;0,0,IF(AF4&gt;0,ROUNDDOWN(AG$15/Y4,0),0))</f>
        <v>0</v>
      </c>
      <c r="AH4" s="10">
        <f>AG4+AE4</f>
        <v>0</v>
      </c>
      <c r="AI4" s="12">
        <f>(AA4-AH4)</f>
        <v>0</v>
      </c>
      <c r="AJ4" s="10">
        <f>IF(AH3&gt;0,IF(AH3=0,0,5),0)</f>
        <v>0</v>
      </c>
      <c r="AK4" s="10" t="str">
        <f>IF(AI4&gt;0,AJ4,"")</f>
        <v/>
      </c>
      <c r="AL4" s="10">
        <f>IF(AI$16&gt;0,-IF(OR(COUNTIF(AL$3:AL3,"&lt;0")&gt;0,AH$17=0),0,IF(AH4&gt;0,1,0)),0)</f>
        <v>0</v>
      </c>
      <c r="AM4" s="10">
        <f>IF(AND(SUM(AM5:AM$11)=0,AH$17&gt;0,AI$16&gt;0),IF(AH$17+1&gt;AK4,1,0),0)</f>
        <v>0</v>
      </c>
      <c r="AN4" s="10">
        <f>AH4+AL4+AM4</f>
        <v>0</v>
      </c>
      <c r="AO4" s="10">
        <f>AA4-AN4</f>
        <v>0</v>
      </c>
      <c r="AP4" s="10">
        <f>(AA4-AN4)*$Y4</f>
        <v>0</v>
      </c>
      <c r="AQ4" s="10">
        <f>IF(AP$15&lt;AQ$15,AO4,IF(SUM(AQ5:AQ$11)=0,IF(AO4&gt;0,1,0),0)+IF(SUM(AP$3:AP4)&lt;AQ$15,AO4-IF(AND(SUM(AQ5:AQ$11)=0,AO4&gt;0),1,0),0))</f>
        <v>0</v>
      </c>
      <c r="AR4" s="10">
        <f>AO4-AQ4</f>
        <v>0</v>
      </c>
      <c r="AS4" s="10">
        <f>IF(SUM(AS$3:AS3)&gt;0,0,IF(AR4&gt;0,ROUNDDOWN(AS$15/$Y4,0),0))</f>
        <v>0</v>
      </c>
      <c r="AT4" s="10">
        <f>AS4+AQ4</f>
        <v>0</v>
      </c>
      <c r="AU4" s="10">
        <f>AO4-AT4</f>
        <v>0</v>
      </c>
      <c r="AV4" s="10">
        <f>IF(AT3&gt;0,IF(AT3=0,0,5),0)</f>
        <v>0</v>
      </c>
      <c r="AW4" s="10" t="str">
        <f>IF(AU4&gt;0,AV4,"")</f>
        <v/>
      </c>
      <c r="AX4" s="10">
        <f>IF(AU$16&gt;0,-IF(OR(COUNTIF(AX$3:AX3,"&lt;0")&gt;0,AT$17=0),0,IF(AT4&gt;0,1,0)),0)</f>
        <v>0</v>
      </c>
      <c r="AY4" s="10">
        <f>IF(AND(SUM(AY5:AY$11)=0,AT$17&gt;0,AU$16&gt;0),IF(AT$17+1&gt;AW4,1,0),0)</f>
        <v>0</v>
      </c>
      <c r="AZ4" s="10">
        <f>AT4+AX4+AY4</f>
        <v>0</v>
      </c>
      <c r="BA4" s="10">
        <f>AO4-AZ4</f>
        <v>0</v>
      </c>
      <c r="BB4" s="10">
        <f>BA4*$Y4</f>
        <v>0</v>
      </c>
      <c r="BC4" s="10">
        <f>IF(BB$15&lt;BC$15,BA4,IF(SUM(BC5:BC$11)=0,IF(BA4&gt;0,1,0),0)+IF(SUM(BB$3:BB4)&lt;BC$15,BA4-IF(AND(SUM(BC5:BC$11)=0,BA4&gt;0),1,0),0))</f>
        <v>0</v>
      </c>
      <c r="BD4" s="10">
        <f>BA4-BC4</f>
        <v>0</v>
      </c>
      <c r="BE4" s="10">
        <f>IF(SUM(BE$3:BE3)&gt;0,0,IF(BD4&gt;0,ROUNDDOWN(BE$15/$Y4,0),0))</f>
        <v>0</v>
      </c>
      <c r="BF4" s="10">
        <f>BE4+BC4</f>
        <v>0</v>
      </c>
      <c r="BG4" s="10">
        <f>BA4-BF4</f>
        <v>0</v>
      </c>
      <c r="BH4" s="10">
        <f>BG4*$Y4</f>
        <v>0</v>
      </c>
      <c r="BM4" s="1"/>
      <c r="BN4" s="1"/>
    </row>
    <row r="5" spans="1:66" ht="20.25" x14ac:dyDescent="0.25">
      <c r="B5" s="18" t="s">
        <v>23</v>
      </c>
      <c r="C5" s="26"/>
      <c r="D5" s="27"/>
      <c r="E5" s="1209"/>
      <c r="F5" s="1209"/>
      <c r="G5" s="1209"/>
      <c r="H5" s="28" t="s">
        <v>24</v>
      </c>
      <c r="I5" s="1209"/>
      <c r="J5" s="1209"/>
      <c r="K5" s="1209"/>
      <c r="L5" s="1209"/>
      <c r="M5" s="1209"/>
      <c r="N5" s="1209"/>
      <c r="O5" s="1209"/>
      <c r="P5" s="24"/>
      <c r="Q5" s="15"/>
      <c r="R5" s="29"/>
      <c r="S5" s="10"/>
      <c r="T5" s="10">
        <f>IF(BF16&gt;0,BF16,IF(AZ16&gt;0,AZ16,AN16))</f>
        <v>0</v>
      </c>
      <c r="U5" s="10"/>
      <c r="V5" s="30">
        <f>ROUNDDOWN(IF(BF16&gt;0,BF17,IF(AZ16&gt;0,AZ17,AN17))/25,0)</f>
        <v>7</v>
      </c>
      <c r="W5" s="10"/>
      <c r="X5" s="17" t="s">
        <v>25</v>
      </c>
      <c r="Y5" s="10">
        <v>35</v>
      </c>
      <c r="Z5" s="11">
        <f>SUMIFS(U$32:U$1294,S$32:S$1294,Y5)</f>
        <v>0</v>
      </c>
      <c r="AA5" s="10">
        <f>IF(AB5&gt;0.001,ROUNDUP(AB5,0),0)</f>
        <v>0</v>
      </c>
      <c r="AB5" s="11">
        <f>AB6+Z5-AA6</f>
        <v>0</v>
      </c>
      <c r="AC5" s="10">
        <f>Y5*AA5</f>
        <v>0</v>
      </c>
      <c r="AD5" s="10">
        <f>IF(SUM(AD6:AD$11)=0,IF(AC5&gt;0,Y5,0),0)</f>
        <v>0</v>
      </c>
      <c r="AE5" s="10">
        <f>IF((IF(SUM(AE6:AE$11)=0,IF(AA5&gt;0,1,0),0)+IF(SUM(AC$3:AC5)&lt;AE$15,AA5,0))&gt;AA5,AA5,IF(SUM(AE6:AE$11)=0,IF(AA5&gt;0,1,0),0)+IF(SUM(AC$3:AC5)&lt;AE$15,AA5,0))</f>
        <v>0</v>
      </c>
      <c r="AF5" s="10">
        <f>AA5-AE5</f>
        <v>0</v>
      </c>
      <c r="AG5" s="10">
        <f>IF(SUM(AG$3:AG4)&gt;0,0,IF(AF5&gt;0,ROUNDDOWN(AG$15/Y5,0),0))</f>
        <v>0</v>
      </c>
      <c r="AH5" s="10">
        <f>AG5+AE5</f>
        <v>0</v>
      </c>
      <c r="AI5" s="12">
        <f>(AA5-AH5)</f>
        <v>0</v>
      </c>
      <c r="AJ5" s="10">
        <f>IF(SUM(AH$3:AH4)&gt;0,AJ4+5,0)</f>
        <v>0</v>
      </c>
      <c r="AK5" s="10" t="str">
        <f>IF(AI5&gt;0,AJ5,"")</f>
        <v/>
      </c>
      <c r="AL5" s="10">
        <f>IF(AI$16&gt;0,-IF(OR(COUNTIF(AL$3:AL4,"&lt;0")&gt;0,AH$17=0),0,IF(AH5&gt;0,1,0)),0)</f>
        <v>0</v>
      </c>
      <c r="AM5" s="10">
        <f>IF(AND(SUM(AM6:AM$11)=0,AH$17&gt;0,AI$16&gt;0),IF(AH$17+1&gt;AK5,1,0),0)</f>
        <v>0</v>
      </c>
      <c r="AN5" s="10">
        <f>AH5+AL5+AM5</f>
        <v>0</v>
      </c>
      <c r="AO5" s="10">
        <f>AA5-AN5</f>
        <v>0</v>
      </c>
      <c r="AP5" s="10">
        <f>(AA5-AN5)*$Y5</f>
        <v>0</v>
      </c>
      <c r="AQ5" s="10">
        <f>IF(AP$15&lt;AQ$15,AO5,IF(SUM(AQ6:AQ$11)=0,IF(AO5&gt;0,1,0),0)+IF(SUM(AP$3:AP5)&lt;AQ$15,AO5-IF(AND(SUM(AQ6:AQ$11)=0,AO5&gt;0),1,0),0))</f>
        <v>0</v>
      </c>
      <c r="AR5" s="10">
        <f>AO5-AQ5</f>
        <v>0</v>
      </c>
      <c r="AS5" s="10">
        <f>IF(SUM(AS$3:AS4)&gt;0,0,IF(AR5&gt;0,ROUNDDOWN(AS$15/$Y5,0),0))</f>
        <v>0</v>
      </c>
      <c r="AT5" s="10">
        <f>AS5+AQ5</f>
        <v>0</v>
      </c>
      <c r="AU5" s="10">
        <f>AO5-AT5</f>
        <v>0</v>
      </c>
      <c r="AV5" s="10">
        <f>IF(SUM(AT$3:AT4)&gt;0,AV4+5,0)</f>
        <v>0</v>
      </c>
      <c r="AW5" s="10" t="str">
        <f>IF(AU5&gt;0,AV5,"")</f>
        <v/>
      </c>
      <c r="AX5" s="10">
        <f>IF(AU$16&gt;0,-IF(OR(COUNTIF(AX$3:AX4,"&lt;0")&gt;0,AT$17=0),0,IF(AT5&gt;0,1,0)),0)</f>
        <v>0</v>
      </c>
      <c r="AY5" s="10">
        <f>IF(AND(SUM(AY6:AY$11)=0,AT$17&gt;0,AU$16&gt;0),IF(AT$17+1&gt;AW5,1,0),0)</f>
        <v>0</v>
      </c>
      <c r="AZ5" s="10">
        <f>AT5+AX5+AY5</f>
        <v>0</v>
      </c>
      <c r="BA5" s="10">
        <f>AO5-AZ5</f>
        <v>0</v>
      </c>
      <c r="BB5" s="10">
        <f>BA5*$Y5</f>
        <v>0</v>
      </c>
      <c r="BC5" s="10">
        <f>IF(BB$15&lt;BC$15,BA5,IF(SUM(BC6:BC$11)=0,IF(BA5&gt;0,1,0),0)+IF(SUM(BB$3:BB5)&lt;BC$15,BA5-IF(AND(SUM(BC6:BC$11)=0,BA5&gt;0),1,0),0))</f>
        <v>0</v>
      </c>
      <c r="BD5" s="10">
        <f>BA5-BC5</f>
        <v>0</v>
      </c>
      <c r="BE5" s="10">
        <f>IF(SUM(BE$3:BE4)&gt;0,0,IF(BD5&gt;0,ROUNDDOWN(BE$15/$Y5,0),0))</f>
        <v>0</v>
      </c>
      <c r="BF5" s="10">
        <f>BE5+BC5</f>
        <v>0</v>
      </c>
      <c r="BG5" s="10">
        <f>BA5-BF5</f>
        <v>0</v>
      </c>
      <c r="BH5" s="10">
        <f>BG5*$Y5</f>
        <v>0</v>
      </c>
      <c r="BM5" s="1"/>
      <c r="BN5" s="1"/>
    </row>
    <row r="6" spans="1:66" x14ac:dyDescent="0.25">
      <c r="A6" s="31"/>
      <c r="B6" s="1214" t="s">
        <v>1499</v>
      </c>
      <c r="C6" s="1214"/>
      <c r="D6" s="1214"/>
      <c r="E6" s="33"/>
      <c r="F6" s="33"/>
      <c r="G6" s="32" t="s">
        <v>1498</v>
      </c>
      <c r="H6" s="32"/>
      <c r="I6" s="33"/>
      <c r="J6" s="34"/>
      <c r="K6" s="33"/>
      <c r="L6" s="33"/>
      <c r="M6" s="33"/>
      <c r="N6" s="33"/>
      <c r="O6" s="35" t="s">
        <v>26</v>
      </c>
      <c r="P6" s="36"/>
      <c r="Q6" s="37">
        <f>IF(R3=1,ROUND((V9+V10)*100,0),100)</f>
        <v>0</v>
      </c>
      <c r="R6" s="15"/>
      <c r="S6" s="10"/>
      <c r="T6" s="10">
        <f>AB2/-1</f>
        <v>0</v>
      </c>
      <c r="U6" s="10"/>
      <c r="V6" s="10">
        <f>IF(SUM(BF3:BF11)&gt;0,SUM(BF3:BF11),IF(SUM(AZ3:AZ11)&gt;0,SUM(AZ3:AZ11),SUM(AN3:AN11)))</f>
        <v>0</v>
      </c>
      <c r="W6" s="10"/>
      <c r="X6" s="17" t="s">
        <v>25</v>
      </c>
      <c r="Y6" s="10">
        <v>40</v>
      </c>
      <c r="Z6" s="11">
        <f>SUMIFS(U$32:U$1294,S$32:S$1294,Y6)</f>
        <v>0</v>
      </c>
      <c r="AA6" s="10">
        <f>IF(AB6&gt;0.001,ROUNDUP(AB6,0),0)</f>
        <v>0</v>
      </c>
      <c r="AB6" s="11">
        <f>AB7+Z6-AA7</f>
        <v>0</v>
      </c>
      <c r="AC6" s="10">
        <f>Y6*AA6</f>
        <v>0</v>
      </c>
      <c r="AD6" s="10">
        <f>IF(SUM(AD7:AD$11)=0,IF(AC6&gt;0,Y6,0),0)</f>
        <v>0</v>
      </c>
      <c r="AE6" s="10">
        <f>IF((IF(SUM(AE7:AE$11)=0,IF(AA6&gt;0,1,0),0)+IF(SUM(AC$3:AC6)&lt;AE$15,AA6,0))&gt;AA6,AA6,IF(SUM(AE7:AE$11)=0,IF(AA6&gt;0,1,0),0)+IF(SUM(AC$3:AC6)&lt;AE$15,AA6,0))</f>
        <v>0</v>
      </c>
      <c r="AF6" s="10">
        <f>AA6-AE6</f>
        <v>0</v>
      </c>
      <c r="AG6" s="10">
        <f>IF(SUM(AG$3:AG5)&gt;0,0,IF(AF6&gt;0,ROUNDDOWN(AG$15/Y6,0),0))</f>
        <v>0</v>
      </c>
      <c r="AH6" s="10">
        <f>AG6+AE6</f>
        <v>0</v>
      </c>
      <c r="AI6" s="12">
        <f>(AA6-AH6)</f>
        <v>0</v>
      </c>
      <c r="AJ6" s="10">
        <f>IF(SUM(AH$3:AH5)&gt;0,AJ5+5,0)</f>
        <v>0</v>
      </c>
      <c r="AK6" s="10" t="str">
        <f>IF(AI6&gt;0,AJ6,"")</f>
        <v/>
      </c>
      <c r="AL6" s="10">
        <f>IF(AI$16&gt;0,-IF(OR(COUNTIF(AL$3:AL5,"&lt;0")&gt;0,AH$17=0),0,IF(AH6&gt;0,1,0)),0)</f>
        <v>0</v>
      </c>
      <c r="AM6" s="10">
        <f>IF(AND(SUM(AM7:AM$11)=0,AH$17&gt;0,AI$16&gt;0),IF(AH$17+1&gt;AK6,1,0),0)</f>
        <v>0</v>
      </c>
      <c r="AN6" s="10">
        <f>AH6+AL6+AM6</f>
        <v>0</v>
      </c>
      <c r="AO6" s="10">
        <f>AA6-AN6</f>
        <v>0</v>
      </c>
      <c r="AP6" s="10">
        <f>(AA6-AN6)*$Y6</f>
        <v>0</v>
      </c>
      <c r="AQ6" s="10">
        <f>IF(AP$15&lt;AQ$15,AO6,IF(SUM(AQ7:AQ$11)=0,IF(AO6&gt;0,1,0),0)+IF(SUM(AP$3:AP6)&lt;AQ$15,AO6-IF(AND(SUM(AQ7:AQ$11)=0,AO6&gt;0),1,0),0))</f>
        <v>0</v>
      </c>
      <c r="AR6" s="10">
        <f>AO6-AQ6</f>
        <v>0</v>
      </c>
      <c r="AS6" s="10">
        <f>IF(SUM(AS$3:AS5)&gt;0,0,IF(AR6&gt;0,ROUNDDOWN(AS$15/$Y6,0),0))</f>
        <v>0</v>
      </c>
      <c r="AT6" s="10">
        <f>AS6+AQ6</f>
        <v>0</v>
      </c>
      <c r="AU6" s="10">
        <f>AO6-AT6</f>
        <v>0</v>
      </c>
      <c r="AV6" s="10">
        <f>IF(SUM(AT$3:AT5)&gt;0,AV5+5,0)</f>
        <v>0</v>
      </c>
      <c r="AW6" s="10" t="str">
        <f>IF(AU6&gt;0,AV6,"")</f>
        <v/>
      </c>
      <c r="AX6" s="10">
        <f>IF(AU$16&gt;0,-IF(OR(COUNTIF(AX$3:AX5,"&lt;0")&gt;0,AT$17=0),0,IF(AT6&gt;0,1,0)),0)</f>
        <v>0</v>
      </c>
      <c r="AY6" s="10">
        <f>IF(AND(SUM(AY7:AY$11)=0,AT$17&gt;0,AU$16&gt;0),IF(AT$17+1&gt;AW6,1,0),0)</f>
        <v>0</v>
      </c>
      <c r="AZ6" s="10">
        <f>AT6+AX6+AY6</f>
        <v>0</v>
      </c>
      <c r="BA6" s="10">
        <f>AO6-AZ6</f>
        <v>0</v>
      </c>
      <c r="BB6" s="10">
        <f>BA6*$Y6</f>
        <v>0</v>
      </c>
      <c r="BC6" s="10">
        <f>IF(BB$15&lt;BC$15,BA6,IF(SUM(BC7:BC$11)=0,IF(BA6&gt;0,1,0),0)+IF(SUM(BB$3:BB6)&lt;BC$15,BA6-IF(AND(SUM(BC7:BC$11)=0,BA6&gt;0),1,0),0))</f>
        <v>0</v>
      </c>
      <c r="BD6" s="10">
        <f>BA6-BC6</f>
        <v>0</v>
      </c>
      <c r="BE6" s="10">
        <f>IF(SUM(BE$3:BE5)&gt;0,0,IF(BD6&gt;0,ROUNDDOWN(BE$15/$Y6,0),0))</f>
        <v>0</v>
      </c>
      <c r="BF6" s="10">
        <f>BE6+BC6</f>
        <v>0</v>
      </c>
      <c r="BG6" s="10">
        <f>BA6-BF6</f>
        <v>0</v>
      </c>
      <c r="BH6" s="10">
        <f>BG6*$Y6</f>
        <v>0</v>
      </c>
      <c r="BM6" s="1"/>
      <c r="BN6" s="1"/>
    </row>
    <row r="7" spans="1:66" ht="12" customHeight="1" x14ac:dyDescent="0.25">
      <c r="B7" s="38"/>
      <c r="C7" s="39"/>
      <c r="D7" s="38" t="s">
        <v>27</v>
      </c>
      <c r="E7" s="39"/>
      <c r="F7" s="39"/>
      <c r="G7" s="39"/>
      <c r="H7" s="39"/>
      <c r="I7" s="39"/>
      <c r="J7" s="39"/>
      <c r="K7" s="39"/>
      <c r="L7" s="39"/>
      <c r="M7" s="39"/>
      <c r="N7" s="39"/>
      <c r="O7" s="39"/>
      <c r="P7" s="40"/>
      <c r="Q7" s="10">
        <f>IF(R3&gt;1,ROUND((V9+V10)*100,0),0)</f>
        <v>0</v>
      </c>
      <c r="R7" s="10"/>
      <c r="S7" s="10"/>
      <c r="T7" s="10">
        <f>IF(AB2&lt;&gt;0,AB2+1,0)</f>
        <v>0</v>
      </c>
      <c r="U7" s="10"/>
      <c r="V7" s="41">
        <f>V5+V6</f>
        <v>7</v>
      </c>
      <c r="W7" s="10"/>
      <c r="X7" s="17" t="s">
        <v>25</v>
      </c>
      <c r="Y7" s="10">
        <v>45</v>
      </c>
      <c r="Z7" s="11">
        <f>SUMIFS(U$32:U$1294,S$32:S$1294,Y7)</f>
        <v>0</v>
      </c>
      <c r="AA7" s="10">
        <f>IF(AB7&gt;0.001,ROUNDUP(AB7,0),0)</f>
        <v>0</v>
      </c>
      <c r="AB7" s="11">
        <f>AB9+Z7-AA9</f>
        <v>0</v>
      </c>
      <c r="AC7" s="10">
        <f>Y7*AA7</f>
        <v>0</v>
      </c>
      <c r="AD7" s="10">
        <f>IF(SUM(AD9:AD$11)=0,IF(AC7&gt;0,Y7,0),0)</f>
        <v>0</v>
      </c>
      <c r="AE7" s="10">
        <f>IF((IF(SUM(AE9:AE$11)=0,IF(AA7&gt;0,1,0),0)+IF(SUM(AC$3:AC7)&lt;AE$15,AA7,0))&gt;AA7,AA7,IF(SUM(AE9:AE$11)=0,IF(AA7&gt;0,1,0),0)+IF(SUM(AC$3:AC7)&lt;AE$15,AA7,0))</f>
        <v>0</v>
      </c>
      <c r="AF7" s="10">
        <f>AA7-AE7</f>
        <v>0</v>
      </c>
      <c r="AG7" s="10">
        <f>IF(SUM(AG$3:AG6)&gt;0,0,IF(AF7&gt;0,ROUNDDOWN(AG$15/Y7,0),0))</f>
        <v>0</v>
      </c>
      <c r="AH7" s="10">
        <f>AG7+AE7</f>
        <v>0</v>
      </c>
      <c r="AI7" s="12">
        <f>(AA7-AH7)</f>
        <v>0</v>
      </c>
      <c r="AJ7" s="10">
        <f>IF(SUM(AH$3:AH6)&gt;0,AJ6+5,0)</f>
        <v>0</v>
      </c>
      <c r="AK7" s="10" t="str">
        <f>IF(AI7&gt;0,AJ7,"")</f>
        <v/>
      </c>
      <c r="AL7" s="10">
        <f>IF(AI$16&gt;0,-IF(OR(COUNTIF(AL$3:AL6,"&lt;0")&gt;0,AH$17=0),0,IF(AH7&gt;0,1,0)),0)</f>
        <v>0</v>
      </c>
      <c r="AM7" s="10">
        <f>IF(AND(SUM(AM9:AM$11)=0,AH$17&gt;0,AI$16&gt;0),IF(AH$17+1&gt;AK7,1,0),0)</f>
        <v>0</v>
      </c>
      <c r="AN7" s="10">
        <f>AH7+AL7+AM7</f>
        <v>0</v>
      </c>
      <c r="AO7" s="10">
        <f>AA7-AN7</f>
        <v>0</v>
      </c>
      <c r="AP7" s="10">
        <f>(AA7-AN7)*$Y7</f>
        <v>0</v>
      </c>
      <c r="AQ7" s="10">
        <f>IF(AP$15&lt;AQ$15,AO7,IF(SUM(AQ9:AQ$11)=0,IF(AO7&gt;0,1,0),0)+IF(SUM(AP$3:AP7)&lt;AQ$15,AO7-IF(AND(SUM(AQ9:AQ$11)=0,AO7&gt;0),1,0),0))</f>
        <v>0</v>
      </c>
      <c r="AR7" s="10">
        <f>AO7-AQ7</f>
        <v>0</v>
      </c>
      <c r="AS7" s="10">
        <f>IF(SUM(AS$3:AS6)&gt;0,0,IF(AR7&gt;0,ROUNDDOWN(AS$15/$Y7,0),0))</f>
        <v>0</v>
      </c>
      <c r="AT7" s="10">
        <f>AS7+AQ7</f>
        <v>0</v>
      </c>
      <c r="AU7" s="10">
        <f>AO7-AT7</f>
        <v>0</v>
      </c>
      <c r="AV7" s="10">
        <f>IF(SUM(AT$3:AT6)&gt;0,AV6+5,0)</f>
        <v>0</v>
      </c>
      <c r="AW7" s="10" t="str">
        <f>IF(AU7&gt;0,AV7,"")</f>
        <v/>
      </c>
      <c r="AX7" s="10">
        <f>IF(AU$16&gt;0,-IF(OR(COUNTIF(AX$3:AX6,"&lt;0")&gt;0,AT$17=0),0,IF(AT7&gt;0,1,0)),0)</f>
        <v>0</v>
      </c>
      <c r="AY7" s="10">
        <f>IF(AND(SUM(AY9:AY$11)=0,AT$17&gt;0,AU$16&gt;0),IF(AT$17+1&gt;AW7,1,0),0)</f>
        <v>0</v>
      </c>
      <c r="AZ7" s="10">
        <f>AT7+AX7+AY7</f>
        <v>0</v>
      </c>
      <c r="BA7" s="10">
        <f>AO7-AZ7</f>
        <v>0</v>
      </c>
      <c r="BB7" s="10">
        <f>BA7*$Y7</f>
        <v>0</v>
      </c>
      <c r="BC7" s="10">
        <f>IF(BB$15&lt;BC$15,BA7,IF(SUM(BC9:BC$11)=0,IF(BA7&gt;0,1,0),0)+IF(SUM(BB$3:BB7)&lt;BC$15,BA7-IF(AND(SUM(BC9:BC$11)=0,BA7&gt;0),1,0),0))</f>
        <v>0</v>
      </c>
      <c r="BD7" s="10">
        <f>BA7-BC7</f>
        <v>0</v>
      </c>
      <c r="BE7" s="10">
        <f>IF(SUM(BE$3:BE6)&gt;0,0,IF(BD7&gt;0,ROUNDDOWN(BE$15/$Y7,0),0))</f>
        <v>0</v>
      </c>
      <c r="BF7" s="10">
        <f>BE7+BC7</f>
        <v>0</v>
      </c>
      <c r="BG7" s="10">
        <f>BA7-BF7</f>
        <v>0</v>
      </c>
      <c r="BH7" s="10">
        <f>BG7*$Y7</f>
        <v>0</v>
      </c>
      <c r="BM7" s="1"/>
      <c r="BN7" s="1"/>
    </row>
    <row r="8" spans="1:66" ht="8.25" customHeight="1" x14ac:dyDescent="0.25">
      <c r="B8" s="38"/>
      <c r="C8" s="39"/>
      <c r="D8" s="38"/>
      <c r="E8" s="39"/>
      <c r="F8" s="39"/>
      <c r="G8" s="39"/>
      <c r="H8" s="39"/>
      <c r="I8" s="39"/>
      <c r="J8" s="39"/>
      <c r="K8" s="39"/>
      <c r="L8" s="39"/>
      <c r="M8" s="39"/>
      <c r="N8" s="39"/>
      <c r="O8" s="39"/>
      <c r="P8" s="40"/>
      <c r="Q8" s="10">
        <f>ROUND((V9+V10)*100,0)</f>
        <v>0</v>
      </c>
      <c r="R8" s="10"/>
      <c r="S8" s="10"/>
      <c r="T8" s="10">
        <f>IF(R3=1,AN15,IF(R3=2,AZ15,BF15))</f>
        <v>0</v>
      </c>
      <c r="U8" s="10"/>
      <c r="V8" s="41"/>
      <c r="W8" s="10"/>
      <c r="X8" s="17"/>
      <c r="Y8" s="10"/>
      <c r="Z8" s="11"/>
      <c r="AA8" s="10"/>
      <c r="AB8" s="11"/>
      <c r="AC8" s="10"/>
      <c r="AD8" s="10"/>
      <c r="AE8" s="10"/>
      <c r="AF8" s="10"/>
      <c r="AG8" s="10"/>
      <c r="AH8" s="10"/>
      <c r="AI8" s="12"/>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M8" s="1"/>
      <c r="BN8" s="1"/>
    </row>
    <row r="9" spans="1:66" ht="15" customHeight="1" x14ac:dyDescent="0.25">
      <c r="B9" s="42"/>
      <c r="C9" s="43" t="s">
        <v>28</v>
      </c>
      <c r="D9" s="44"/>
      <c r="E9" s="44"/>
      <c r="F9" s="44"/>
      <c r="G9" s="44"/>
      <c r="H9" s="44"/>
      <c r="I9" s="44"/>
      <c r="J9" s="39"/>
      <c r="K9" s="44"/>
      <c r="L9" s="44"/>
      <c r="M9" s="44"/>
      <c r="N9" s="44"/>
      <c r="O9" s="44"/>
      <c r="P9" s="45"/>
      <c r="Q9" s="10"/>
      <c r="R9" s="10"/>
      <c r="S9" s="10"/>
      <c r="T9" s="10"/>
      <c r="U9" s="10"/>
      <c r="V9" s="46">
        <f>(V6-1)/V7</f>
        <v>-0.14285714285714285</v>
      </c>
      <c r="W9" s="10"/>
      <c r="X9" s="17" t="s">
        <v>29</v>
      </c>
      <c r="Y9" s="10">
        <v>50</v>
      </c>
      <c r="Z9" s="11">
        <f>SUMIFS(U$32:U$1294,S$32:S$1294,Y9)</f>
        <v>0</v>
      </c>
      <c r="AA9" s="10">
        <f>IF(AB9&gt;0.001,ROUNDUP(AB9,0),0)</f>
        <v>0</v>
      </c>
      <c r="AB9" s="11">
        <f>AB10+Z9-AA10</f>
        <v>0</v>
      </c>
      <c r="AC9" s="10">
        <f>Y9*AA9</f>
        <v>0</v>
      </c>
      <c r="AD9" s="10">
        <f>IF(SUM(AD10:AD$11)=0,IF(AC9&gt;0,Y9,0),0)</f>
        <v>0</v>
      </c>
      <c r="AE9" s="10">
        <f>IF((IF(SUM(AE10:AE$11)=0,IF(AA9&gt;0,1,0),0)+IF(SUM(AC$3:AC9)&lt;AE$15,AA9,0))&gt;AA9,AA9,IF(SUM(AE10:AE$11)=0,IF(AA9&gt;0,1,0),0)+IF(SUM(AC$3:AC9)&lt;AE$15,AA9,0))</f>
        <v>0</v>
      </c>
      <c r="AF9" s="10">
        <f>AA9-AE9</f>
        <v>0</v>
      </c>
      <c r="AG9" s="10">
        <f>IF(SUM(AG$3:AG7)&gt;0,0,IF(AF9&gt;0,ROUNDDOWN(AG$15/Y9,0),0))</f>
        <v>0</v>
      </c>
      <c r="AH9" s="10">
        <f>AG9+AE9</f>
        <v>0</v>
      </c>
      <c r="AI9" s="12">
        <f>(AA9-AH9)</f>
        <v>0</v>
      </c>
      <c r="AJ9" s="10">
        <f>IF(SUM(AH$3:AH7)&gt;0,AJ7+5,0)</f>
        <v>0</v>
      </c>
      <c r="AK9" s="10" t="str">
        <f>IF(AI9&gt;0,AJ9,"")</f>
        <v/>
      </c>
      <c r="AL9" s="10">
        <f>IF(AI$16&gt;0,-IF(OR(COUNTIF(AL$3:AL7,"&lt;0")&gt;0,AH$17=0),0,IF(AH9&gt;0,1,0)),0)</f>
        <v>0</v>
      </c>
      <c r="AM9" s="10">
        <f>IF(AND(SUM(AM10:AM$11)=0,AH$17&gt;0,AI$16&gt;0),IF(AH$17+1&gt;AK9,1,0),0)</f>
        <v>0</v>
      </c>
      <c r="AN9" s="10">
        <f>AH9+AL9+AM9</f>
        <v>0</v>
      </c>
      <c r="AO9" s="10">
        <f>AA9-AN9</f>
        <v>0</v>
      </c>
      <c r="AP9" s="10">
        <f>(AA9-AN9)*$Y9</f>
        <v>0</v>
      </c>
      <c r="AQ9" s="10">
        <f>IF(AP$15&lt;AQ$15,AO9,IF(SUM(AQ10:AQ$11)=0,IF(AO9&gt;0,1,0),0)+IF(SUM(AP$3:AP9)&lt;AQ$15,AO9-IF(AND(SUM(AQ10:AQ$11)=0,AO9&gt;0),1,0),0))</f>
        <v>0</v>
      </c>
      <c r="AR9" s="10">
        <f>AO9-AQ9</f>
        <v>0</v>
      </c>
      <c r="AS9" s="10">
        <f>IF(SUM(AS$3:AS7)&gt;0,0,IF(AR9&gt;0,ROUNDDOWN(AS$15/$Y9,0),0))</f>
        <v>0</v>
      </c>
      <c r="AT9" s="10">
        <f>AS9+AQ9</f>
        <v>0</v>
      </c>
      <c r="AU9" s="10">
        <f>AO9-AT9</f>
        <v>0</v>
      </c>
      <c r="AV9" s="10">
        <f>IF(SUM(AT$3:AT7)&gt;0,AV7+5,0)</f>
        <v>0</v>
      </c>
      <c r="AW9" s="10" t="str">
        <f>IF(AU9&gt;0,AV9,"")</f>
        <v/>
      </c>
      <c r="AX9" s="10">
        <f>IF(AU$16&gt;0,-IF(OR(COUNTIF(AX$3:AX7,"&lt;0")&gt;0,AT$17=0),0,IF(AT9&gt;0,1,0)),0)</f>
        <v>0</v>
      </c>
      <c r="AY9" s="10">
        <f>IF(AND(SUM(AY10:AY$11)=0,AT$17&gt;0,AU$16&gt;0),IF(AT$17+1&gt;AW9,1,0),0)</f>
        <v>0</v>
      </c>
      <c r="AZ9" s="10">
        <f>AT9+AX9+AY9</f>
        <v>0</v>
      </c>
      <c r="BA9" s="10">
        <f>AO9-AZ9</f>
        <v>0</v>
      </c>
      <c r="BB9" s="10">
        <f>BA9*$Y9</f>
        <v>0</v>
      </c>
      <c r="BC9" s="10">
        <f>IF(BB$15&lt;BC$15,BA9,IF(SUM(BC10:BC$11)=0,IF(BA9&gt;0,1,0),0)+IF(SUM(BB$3:BB9)&lt;BC$15,BA9-IF(AND(SUM(BC10:BC$11)=0,BA9&gt;0),1,0),0))</f>
        <v>0</v>
      </c>
      <c r="BD9" s="10">
        <f>BA9-BC9</f>
        <v>0</v>
      </c>
      <c r="BE9" s="10">
        <f>IF(SUM(BE$3:BE7)&gt;0,0,IF(BD9&gt;0,ROUNDDOWN(BE$15/$Y9,0),0))</f>
        <v>0</v>
      </c>
      <c r="BF9" s="10">
        <f>BE9+BC9</f>
        <v>0</v>
      </c>
      <c r="BG9" s="10">
        <f>BA9-BF9</f>
        <v>0</v>
      </c>
      <c r="BH9" s="10">
        <f>BG9*$Y9</f>
        <v>0</v>
      </c>
      <c r="BM9" s="1"/>
      <c r="BN9" s="1"/>
    </row>
    <row r="10" spans="1:66" ht="13.5" customHeight="1" x14ac:dyDescent="0.25">
      <c r="B10" s="47"/>
      <c r="C10" s="47"/>
      <c r="D10" s="48" t="s">
        <v>30</v>
      </c>
      <c r="E10" s="47"/>
      <c r="F10" s="47"/>
      <c r="G10" s="47"/>
      <c r="H10" s="47"/>
      <c r="I10" s="47"/>
      <c r="J10" s="47"/>
      <c r="K10" s="47"/>
      <c r="L10" s="47"/>
      <c r="M10" s="49"/>
      <c r="N10" s="47"/>
      <c r="O10" s="47"/>
      <c r="P10" s="50"/>
      <c r="Q10" s="10"/>
      <c r="R10" s="10"/>
      <c r="S10" s="10"/>
      <c r="T10" s="10"/>
      <c r="U10" s="10"/>
      <c r="V10" s="11">
        <f>(IF(AB2&gt;-0.001,1,IF(AB2&gt;0,AB2-ROUNDDOWN(AB2,0),1-ABS(AB2-ROUNDDOWN(AB2,0)))))/V7</f>
        <v>0.14285714285714285</v>
      </c>
      <c r="W10" s="10"/>
      <c r="X10" s="17" t="s">
        <v>29</v>
      </c>
      <c r="Y10" s="10">
        <v>55</v>
      </c>
      <c r="Z10" s="11">
        <f>SUMIFS(U$32:U$1294,S$32:S$1294,Y10)</f>
        <v>0</v>
      </c>
      <c r="AA10" s="10">
        <f>IF(AB10&gt;0.001,ROUNDUP(AB10,0),0)</f>
        <v>0</v>
      </c>
      <c r="AB10" s="11">
        <f>AB11+Z10</f>
        <v>0</v>
      </c>
      <c r="AC10" s="10">
        <f>Y10*AA10</f>
        <v>0</v>
      </c>
      <c r="AD10" s="10">
        <f>IF(AD11=0,IF(AC10&gt;0,Y10,0),0)</f>
        <v>0</v>
      </c>
      <c r="AE10" s="10">
        <f>IF((IF(SUM(AE11:AE$11)=0,IF(AA10&gt;0,1,0),0)+IF(SUM(AC$3:AC10)&lt;AE$15,AA10,0))&gt;AA10,AA10,IF(SUM(AE11:AE$11)=0,IF(AA10&gt;0,1,0),0)+IF(SUM(AC$3:AC10)&lt;AE$15,AA10,0))</f>
        <v>0</v>
      </c>
      <c r="AF10" s="10">
        <f>AA10-AE10</f>
        <v>0</v>
      </c>
      <c r="AG10" s="10">
        <f>IF(SUM(AG$3:AG9)&gt;0,0,IF(AF10&gt;0,ROUNDDOWN(AG$15/Y10,0),0))</f>
        <v>0</v>
      </c>
      <c r="AH10" s="10">
        <f>AG10+AE10</f>
        <v>0</v>
      </c>
      <c r="AI10" s="12">
        <f>(AA10-AH10)</f>
        <v>0</v>
      </c>
      <c r="AJ10" s="10">
        <f>IF(SUM(AH$3:AH9)&gt;0,AJ9+5,0)</f>
        <v>0</v>
      </c>
      <c r="AK10" s="10" t="str">
        <f>IF(AI10&gt;0,AJ10,"")</f>
        <v/>
      </c>
      <c r="AL10" s="10">
        <f>IF(AI$16&gt;0,-IF(OR(COUNTIF(AL$3:AL9,"&lt;0")&gt;0,AH$17=0),0,IF(AH10&gt;0,1,0)),0)</f>
        <v>0</v>
      </c>
      <c r="AM10" s="10">
        <f>IF(AND(SUM(AM11:AM$11)=0,AH$17&gt;0,AI$16&gt;0),IF(AH$17+1&gt;AK10,1,0),0)</f>
        <v>0</v>
      </c>
      <c r="AN10" s="10">
        <f>AH10+AL10+AM10</f>
        <v>0</v>
      </c>
      <c r="AO10" s="10">
        <f>AA10-AN10</f>
        <v>0</v>
      </c>
      <c r="AP10" s="10">
        <f>(AA10-AN10)*$Y10</f>
        <v>0</v>
      </c>
      <c r="AQ10" s="10">
        <f>IF(AP$15&lt;AQ$15,AO10,IF(SUM(AQ11:AQ$11)=0,IF(AO10&gt;0,1,0),0)+IF(SUM(AP$3:AP10)&lt;AQ$15,AO10-IF(AND(SUM(AQ11:AQ$11)=0,AO10&gt;0),1,0),0))</f>
        <v>0</v>
      </c>
      <c r="AR10" s="10">
        <f>AO10-AQ10</f>
        <v>0</v>
      </c>
      <c r="AS10" s="10">
        <f>IF(SUM(AS$3:AS9)&gt;0,0,IF(AR10&gt;0,ROUNDDOWN(AS$15/$Y10,0),0))</f>
        <v>0</v>
      </c>
      <c r="AT10" s="10">
        <f>AS10+AQ10</f>
        <v>0</v>
      </c>
      <c r="AU10" s="10">
        <f>AO10-AT10</f>
        <v>0</v>
      </c>
      <c r="AV10" s="10">
        <f>IF(SUM(AT$3:AT9)&gt;0,AV9+5,0)</f>
        <v>0</v>
      </c>
      <c r="AW10" s="10" t="str">
        <f>IF(AU10&gt;0,AV10,"")</f>
        <v/>
      </c>
      <c r="AX10" s="10">
        <f>IF(AU$16&gt;0,-IF(OR(COUNTIF(AX$3:AX9,"&lt;0")&gt;0,AT$17=0),0,IF(AT10&gt;0,1,0)),0)</f>
        <v>0</v>
      </c>
      <c r="AY10" s="10">
        <f>IF(AND(SUM(AY11:AY$11)=0,AT$17&gt;0,AU$16&gt;0),IF(AT$17+1&gt;AW10,1,0),0)</f>
        <v>0</v>
      </c>
      <c r="AZ10" s="10">
        <f>AT10+AX10+AY10</f>
        <v>0</v>
      </c>
      <c r="BA10" s="10">
        <f>AO10-AZ10</f>
        <v>0</v>
      </c>
      <c r="BB10" s="10">
        <f>BA10*$Y10</f>
        <v>0</v>
      </c>
      <c r="BC10" s="10">
        <f>IF(BB$15&lt;BC$15,BA10,IF(SUM(BC11:BC$11)=0,IF(BA10&gt;0,1,0),0)+IF(SUM(BB$3:BB10)&lt;BC$15,BA10-IF(AND(SUM(BC11:BC$11)=0,BA10&gt;0),1,0),0))</f>
        <v>0</v>
      </c>
      <c r="BD10" s="10">
        <f>BA10-BC10</f>
        <v>0</v>
      </c>
      <c r="BE10" s="10">
        <f>IF(SUM(BE$3:BE9)&gt;0,0,IF(BD10&gt;0,ROUNDDOWN(BE$15/$Y10,0),0))</f>
        <v>0</v>
      </c>
      <c r="BF10" s="10">
        <f>BE10+BC10</f>
        <v>0</v>
      </c>
      <c r="BG10" s="10">
        <f>BA10-BF10</f>
        <v>0</v>
      </c>
      <c r="BH10" s="10">
        <f>BG10*$Y10</f>
        <v>0</v>
      </c>
      <c r="BM10" s="1"/>
      <c r="BN10" s="1"/>
    </row>
    <row r="11" spans="1:66" ht="13.5" customHeight="1" x14ac:dyDescent="0.25">
      <c r="B11" s="51"/>
      <c r="C11" s="51"/>
      <c r="D11" s="52" t="s">
        <v>31</v>
      </c>
      <c r="E11" s="51"/>
      <c r="F11" s="51"/>
      <c r="G11" s="53"/>
      <c r="H11" s="20"/>
      <c r="I11" s="20"/>
      <c r="J11" s="20"/>
      <c r="K11" s="20"/>
      <c r="L11" s="20"/>
      <c r="M11" s="54"/>
      <c r="N11" s="20"/>
      <c r="O11" s="20"/>
      <c r="P11" s="10"/>
      <c r="Q11" s="10"/>
      <c r="R11" s="10"/>
      <c r="S11" s="12"/>
      <c r="T11" s="12"/>
      <c r="U11" s="12"/>
      <c r="V11" s="46">
        <f>IF(R3&gt;1,1,0)/V7</f>
        <v>0</v>
      </c>
      <c r="W11" s="10"/>
      <c r="X11" s="17" t="s">
        <v>29</v>
      </c>
      <c r="Y11" s="10">
        <v>60</v>
      </c>
      <c r="Z11" s="11">
        <f>SUMIFS(U$32:U$1294,S$32:S$1294,Y11)</f>
        <v>0</v>
      </c>
      <c r="AA11" s="55">
        <f>ROUNDUP(Z11,0)</f>
        <v>0</v>
      </c>
      <c r="AB11" s="11">
        <f>Z11-AA11</f>
        <v>0</v>
      </c>
      <c r="AC11" s="10">
        <f>Y11*AA11</f>
        <v>0</v>
      </c>
      <c r="AD11" s="10">
        <f>IF(AC11&gt;0,Y11,0)</f>
        <v>0</v>
      </c>
      <c r="AE11" s="10">
        <f>IF(AA11&gt;0,1,0)</f>
        <v>0</v>
      </c>
      <c r="AF11" s="10">
        <f>AA11-AE11</f>
        <v>0</v>
      </c>
      <c r="AG11" s="10">
        <f>IF(SUM(AG$3:AG10)&gt;0,0,IF(AF11&gt;0,ROUNDDOWN(AG$15/Y11,0),0))</f>
        <v>0</v>
      </c>
      <c r="AH11" s="10">
        <f>AG11+AE11</f>
        <v>0</v>
      </c>
      <c r="AI11" s="12">
        <f>(AA11-AH11)</f>
        <v>0</v>
      </c>
      <c r="AJ11" s="10">
        <f>IF(SUM(AH$3:AH10)&gt;0,AJ10+5,0)</f>
        <v>0</v>
      </c>
      <c r="AK11" s="10" t="str">
        <f>IF(AI11&gt;0,AJ11,"")</f>
        <v/>
      </c>
      <c r="AL11" s="10">
        <f>IF(AI$16&gt;0,-IF(OR(COUNTIF(AL$3:AL10,"&lt;0")&gt;0,AH$17=0),0,IF(AH11&gt;0,1,0)),0)</f>
        <v>0</v>
      </c>
      <c r="AM11" s="10">
        <f>IF(AND(AH$17+1&gt;AK11,AH17&gt;0,AI16&gt;0),1,0)</f>
        <v>0</v>
      </c>
      <c r="AN11" s="10">
        <f>AH11+AL11+AM11</f>
        <v>0</v>
      </c>
      <c r="AO11" s="10">
        <f>AA11-AN11</f>
        <v>0</v>
      </c>
      <c r="AP11" s="10">
        <f>(AA11-AN11)*$Y11</f>
        <v>0</v>
      </c>
      <c r="AQ11" s="10">
        <f>IF(AP15&lt;AQ15,AO11,IF(AO11&gt;0,1,0))</f>
        <v>0</v>
      </c>
      <c r="AR11" s="10">
        <f>AO11-AQ11</f>
        <v>0</v>
      </c>
      <c r="AS11" s="10">
        <f>IF(SUM(AS$3:AS10)&gt;0,0,IF(AR11&gt;0,ROUNDDOWN(AS$15/$Y11,0),0))</f>
        <v>0</v>
      </c>
      <c r="AT11" s="10">
        <f>AS11+AQ11</f>
        <v>0</v>
      </c>
      <c r="AU11" s="10">
        <f>AO11-AT11</f>
        <v>0</v>
      </c>
      <c r="AV11" s="10">
        <f>IF(SUM(AT$3:AT10)&gt;0,AV10+5,0)</f>
        <v>0</v>
      </c>
      <c r="AW11" s="10" t="str">
        <f>IF(AU11&gt;0,AV11,"")</f>
        <v/>
      </c>
      <c r="AX11" s="10">
        <f>IF(AU$16&gt;0,-IF(OR(COUNTIF(AX$3:AX10,"&lt;0")&gt;0,AT$17=0),0,IF(AT11&gt;0,1,0)),0)</f>
        <v>0</v>
      </c>
      <c r="AY11" s="10">
        <f>IF(AND(AT$17+1&gt;AW11,AT17&gt;0,AU16&gt;0),1,0)</f>
        <v>0</v>
      </c>
      <c r="AZ11" s="10">
        <f>AT11+AX11+AY11</f>
        <v>0</v>
      </c>
      <c r="BA11" s="10">
        <f>AO11-AZ11</f>
        <v>0</v>
      </c>
      <c r="BB11" s="10">
        <f>BA11*$Y11</f>
        <v>0</v>
      </c>
      <c r="BC11" s="10">
        <f>IF(BB15&lt;BC15,BA11,IF(BA11&gt;0,1,0))</f>
        <v>0</v>
      </c>
      <c r="BD11" s="10">
        <f>BA11-BC11</f>
        <v>0</v>
      </c>
      <c r="BE11" s="10">
        <f>IF(SUM(BE$3:BE10)&gt;0,0,IF(BD11&gt;0,ROUNDDOWN(BE$15/$Y11,0),0))</f>
        <v>0</v>
      </c>
      <c r="BF11" s="10">
        <f>BE11+BC11</f>
        <v>0</v>
      </c>
      <c r="BG11" s="10">
        <f>BA11-BF11</f>
        <v>0</v>
      </c>
      <c r="BH11" s="10">
        <f>BG11*$Y11</f>
        <v>0</v>
      </c>
      <c r="BM11" s="1"/>
      <c r="BN11" s="1"/>
    </row>
    <row r="12" spans="1:66" ht="17.25" customHeight="1" x14ac:dyDescent="0.25">
      <c r="B12" s="1215" t="s">
        <v>32</v>
      </c>
      <c r="C12" s="1215"/>
      <c r="D12" s="1215"/>
      <c r="E12" s="1215"/>
      <c r="F12" s="1215"/>
      <c r="G12" s="1215"/>
      <c r="H12" s="1215"/>
      <c r="I12" s="1215"/>
      <c r="J12" s="1215"/>
      <c r="K12" s="1215"/>
      <c r="L12" s="1215"/>
      <c r="M12" s="1215"/>
      <c r="N12" s="1215"/>
      <c r="O12" s="1215"/>
      <c r="P12" s="10"/>
      <c r="Q12" s="10"/>
      <c r="R12" s="10"/>
      <c r="S12" s="12"/>
      <c r="T12" s="12"/>
      <c r="U12" s="12"/>
      <c r="V12" s="10"/>
      <c r="W12" s="10"/>
      <c r="X12" s="17"/>
      <c r="Y12" s="10"/>
      <c r="Z12" s="11"/>
      <c r="AA12" s="55"/>
      <c r="AB12" s="11"/>
      <c r="AC12" s="10"/>
      <c r="AD12" s="10"/>
      <c r="AE12" s="10"/>
      <c r="AF12" s="10"/>
      <c r="AG12" s="10"/>
      <c r="AH12" s="10"/>
      <c r="AI12" s="12"/>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M12" s="1"/>
      <c r="BN12" s="1"/>
    </row>
    <row r="13" spans="1:66" ht="15" customHeight="1" x14ac:dyDescent="0.25">
      <c r="B13" s="56" t="s">
        <v>33</v>
      </c>
      <c r="C13" s="51"/>
      <c r="D13" s="52"/>
      <c r="E13" s="51"/>
      <c r="F13" s="51"/>
      <c r="G13" s="53"/>
      <c r="H13" s="20"/>
      <c r="I13" s="20"/>
      <c r="J13" s="1216" t="str">
        <f>"Trolley "&amp;R3</f>
        <v>Trolley 1</v>
      </c>
      <c r="K13" s="1216"/>
      <c r="L13" s="1216"/>
      <c r="M13" s="1216"/>
      <c r="N13" s="20"/>
      <c r="O13" s="20"/>
      <c r="P13" s="10"/>
      <c r="Q13" s="10"/>
      <c r="R13" s="10"/>
      <c r="S13" s="12"/>
      <c r="T13" s="12"/>
      <c r="U13" s="12"/>
      <c r="V13" s="10"/>
      <c r="W13" s="10"/>
      <c r="X13" s="17"/>
      <c r="Y13" s="10"/>
      <c r="Z13" s="11"/>
      <c r="AA13" s="55"/>
      <c r="AB13" s="11"/>
      <c r="AC13" s="10"/>
      <c r="AD13" s="10"/>
      <c r="AE13" s="10"/>
      <c r="AF13" s="10"/>
      <c r="AG13" s="10"/>
      <c r="AH13" s="10"/>
      <c r="AI13" s="12"/>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M13" s="1"/>
      <c r="BN13" s="1"/>
    </row>
    <row r="14" spans="1:66" ht="12" customHeight="1" x14ac:dyDescent="0.15">
      <c r="B14" s="676" t="s">
        <v>34</v>
      </c>
      <c r="C14" s="58"/>
      <c r="D14" s="59"/>
      <c r="E14" s="58"/>
      <c r="I14" s="60"/>
      <c r="J14" s="1211">
        <f>N14-0.8</f>
        <v>-0.8</v>
      </c>
      <c r="K14" s="1211"/>
      <c r="L14" s="1211"/>
      <c r="M14" s="1211"/>
      <c r="N14" s="1217">
        <f>V9+V10</f>
        <v>0</v>
      </c>
      <c r="O14" s="1217"/>
      <c r="P14" s="10"/>
      <c r="Q14" s="10"/>
      <c r="R14" s="10"/>
      <c r="S14" s="12"/>
      <c r="T14" s="12"/>
      <c r="U14" s="12"/>
      <c r="V14" s="10"/>
      <c r="W14" s="10"/>
      <c r="X14" s="10"/>
      <c r="Y14" s="10"/>
      <c r="Z14" s="10"/>
      <c r="AA14" s="10"/>
      <c r="AB14" s="10"/>
      <c r="AC14" s="10"/>
      <c r="AD14" s="10"/>
      <c r="AE14" s="10"/>
      <c r="AF14" s="10"/>
      <c r="AG14" s="10"/>
      <c r="AH14" s="10"/>
      <c r="AI14" s="12"/>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M14" s="1"/>
      <c r="BN14" s="1"/>
    </row>
    <row r="15" spans="1:66" ht="12" customHeight="1" x14ac:dyDescent="0.15">
      <c r="B15" s="676" t="s">
        <v>1364</v>
      </c>
      <c r="C15" s="58"/>
      <c r="D15" s="59"/>
      <c r="E15" s="58"/>
      <c r="I15" s="58"/>
      <c r="J15" s="1211">
        <f>N14-0.6</f>
        <v>-0.6</v>
      </c>
      <c r="K15" s="1211"/>
      <c r="L15" s="1211"/>
      <c r="M15" s="1211"/>
      <c r="N15" s="1217"/>
      <c r="O15" s="1217"/>
      <c r="P15" s="10"/>
      <c r="Q15" s="10"/>
      <c r="R15" s="10"/>
      <c r="S15" s="12"/>
      <c r="T15" s="12"/>
      <c r="U15" s="12"/>
      <c r="V15" s="10"/>
      <c r="W15" s="10"/>
      <c r="X15" s="10"/>
      <c r="Y15" s="10"/>
      <c r="Z15" s="11">
        <f>SUM(Z3:Z14)</f>
        <v>0</v>
      </c>
      <c r="AA15" s="55">
        <f>SUM(AA3:AA14)</f>
        <v>0</v>
      </c>
      <c r="AB15" s="11">
        <f>AB3-AA3</f>
        <v>0</v>
      </c>
      <c r="AC15" s="10">
        <f>SUM(AC3:AC14)</f>
        <v>0</v>
      </c>
      <c r="AD15" s="10">
        <f>SUM(AD3:AD14)</f>
        <v>0</v>
      </c>
      <c r="AE15" s="10">
        <v>155</v>
      </c>
      <c r="AF15" s="10"/>
      <c r="AG15" s="10">
        <f>AE16-AE3*Y3-AE4*Y4-AE5*Y5-AE6*Y6-AE7*Y7-AE9*Y9-AE10*Y10-AE11*Y11</f>
        <v>180</v>
      </c>
      <c r="AH15" s="10">
        <f>AH3*Y3+AH4*Y4+AH5*Y5+AH6*Y6+AH7*Y7+AH9*Y9+AH10*Y10+AH11*Y11</f>
        <v>0</v>
      </c>
      <c r="AI15" s="12">
        <f>SUM(AI3:AI14)</f>
        <v>0</v>
      </c>
      <c r="AJ15" s="10"/>
      <c r="AK15" s="10"/>
      <c r="AL15" s="10"/>
      <c r="AM15" s="10"/>
      <c r="AN15" s="10">
        <f>AN3*$Y3+AN4*$Y4+AN5*$Y5+AN6*$Y6+AN7*$Y7+AN9*$Y9+AN10*$Y10+AN11*$Y11</f>
        <v>0</v>
      </c>
      <c r="AO15" s="12">
        <f>SUM(AO3:AO14)</f>
        <v>0</v>
      </c>
      <c r="AP15" s="10">
        <f>SUM(AP3:AP14)</f>
        <v>0</v>
      </c>
      <c r="AQ15" s="10">
        <v>155</v>
      </c>
      <c r="AR15" s="10"/>
      <c r="AS15" s="10">
        <f>AQ16-AQ3*Y3-AQ4*Y4-AQ5*Y5-AQ6*Y6-AQ7*Y7-AQ9*Y9-AQ10*Y10-AQ11*Y11</f>
        <v>180</v>
      </c>
      <c r="AT15" s="10">
        <f>AT3*$Y3+AT4*$Y4+AT5*$Y5+AT6*$Y6+AT7*$Y7+AT9*$Y9+AT10*$Y10+AT11*$Y11</f>
        <v>0</v>
      </c>
      <c r="AU15" s="10">
        <f>SUM(AU3:AU14)</f>
        <v>0</v>
      </c>
      <c r="AV15" s="10"/>
      <c r="AW15" s="10"/>
      <c r="AX15" s="10"/>
      <c r="AY15" s="10"/>
      <c r="AZ15" s="10">
        <f>AZ3*$Y3+AZ4*$Y4+AZ5*$Y5+AZ6*$Y6+AZ7*$Y7+AZ9*$Y9+AZ10*$Y10+AZ11*$Y11</f>
        <v>0</v>
      </c>
      <c r="BA15" s="10">
        <f>SUM(BA3:BA14)</f>
        <v>0</v>
      </c>
      <c r="BB15" s="10">
        <f>SUM(BB3:BB14)</f>
        <v>0</v>
      </c>
      <c r="BC15" s="10">
        <v>155</v>
      </c>
      <c r="BD15" s="10"/>
      <c r="BE15" s="10">
        <f>BC16-BC3*Y3-BC4*Y4-BC5*Y5-BC6*Y6-BC7*Y7-BC9*Y9-BC10*Y10-BC11*Y11</f>
        <v>180</v>
      </c>
      <c r="BF15" s="10">
        <f>BF3*$Y3+BF4*$Y4+BF5*$Y5+BF6*$Y6+BF7*$Y7+BF9*$Y9+BF10*$Y10+BF11*$Y11</f>
        <v>0</v>
      </c>
      <c r="BG15" s="10">
        <f>SUM(BG3:BG14)</f>
        <v>0</v>
      </c>
      <c r="BH15" s="10">
        <f>SUM(BH3:BH14)</f>
        <v>0</v>
      </c>
      <c r="BM15" s="1"/>
      <c r="BN15" s="1"/>
    </row>
    <row r="16" spans="1:66" ht="14.25" customHeight="1" x14ac:dyDescent="0.15">
      <c r="B16" s="1210" t="s">
        <v>35</v>
      </c>
      <c r="C16" s="1210"/>
      <c r="D16" s="1210"/>
      <c r="E16" s="1210"/>
      <c r="F16" s="1210"/>
      <c r="G16" s="1210"/>
      <c r="H16" s="1210"/>
      <c r="I16" s="58"/>
      <c r="J16" s="1211">
        <f>N14-0.4</f>
        <v>-0.4</v>
      </c>
      <c r="K16" s="1211"/>
      <c r="L16" s="1211"/>
      <c r="M16" s="1211"/>
      <c r="N16" s="1212" t="s">
        <v>36</v>
      </c>
      <c r="O16" s="1212"/>
      <c r="P16" s="10"/>
      <c r="Q16" s="10"/>
      <c r="R16" s="10"/>
      <c r="S16" s="12"/>
      <c r="T16" s="12"/>
      <c r="U16" s="12"/>
      <c r="V16" s="10"/>
      <c r="W16" s="10"/>
      <c r="X16" s="10"/>
      <c r="Y16" s="10" t="s">
        <v>37</v>
      </c>
      <c r="Z16" s="10">
        <v>155</v>
      </c>
      <c r="AA16" s="10"/>
      <c r="AB16" s="10"/>
      <c r="AC16" s="10">
        <f>AC15-AD15</f>
        <v>0</v>
      </c>
      <c r="AD16" s="10"/>
      <c r="AE16" s="10">
        <f>AE15+IF(AE11&gt;0,$Y11,IF(AE10&gt;0,$Y10,IF(AE9&gt;0,$Y9,IF(AE7&gt;0,$Y7,IF(AE6&gt;0,$Y6,IF(AE5&gt;0,$Y5,IF(AE4&gt;0,$Y4,$Y3)))))))</f>
        <v>180</v>
      </c>
      <c r="AF16" s="10"/>
      <c r="AG16" s="15" t="s">
        <v>38</v>
      </c>
      <c r="AH16" s="17">
        <f>AH15/AE16</f>
        <v>0</v>
      </c>
      <c r="AI16" s="12">
        <f>IF(AND(AI15&gt;0,AK17&gt;0),1,0)</f>
        <v>0</v>
      </c>
      <c r="AJ16" s="10"/>
      <c r="AK16" s="10">
        <f>COUNTIF(AK3:AK11,AH17)</f>
        <v>0</v>
      </c>
      <c r="AL16" s="10"/>
      <c r="AM16" s="10"/>
      <c r="AN16" s="17">
        <f>AN15/AE16</f>
        <v>0</v>
      </c>
      <c r="AO16" s="10"/>
      <c r="AP16" s="10"/>
      <c r="AQ16" s="10">
        <f>AQ15+IF(AQ11&gt;0,$Y11,IF(AQ10&gt;0,$Y10,IF(AQ9&gt;0,$Y9,IF(AQ7&gt;0,$Y7,IF(AQ6&gt;0,$Y6,IF(AQ5&gt;0,$Y5,IF(AQ4&gt;0,$Y4,$Y3)))))))</f>
        <v>180</v>
      </c>
      <c r="AR16" s="10"/>
      <c r="AS16" s="15" t="s">
        <v>38</v>
      </c>
      <c r="AT16" s="17">
        <f>AT15/AQ16</f>
        <v>0</v>
      </c>
      <c r="AU16" s="12">
        <f>IF(AND(AU15&gt;0,AW17&gt;0),1,0)</f>
        <v>0</v>
      </c>
      <c r="AV16" s="10"/>
      <c r="AW16" s="10">
        <f>COUNTIF(AW3:AW11,AT17)</f>
        <v>0</v>
      </c>
      <c r="AX16" s="10"/>
      <c r="AY16" s="10"/>
      <c r="AZ16" s="17">
        <f>AZ15/AQ16</f>
        <v>0</v>
      </c>
      <c r="BA16" s="10"/>
      <c r="BB16" s="10"/>
      <c r="BC16" s="10">
        <f>BC15+IF(BC11&gt;0,$Y11,IF(BC10&gt;0,$Y10,IF(BC9&gt;0,$Y9,IF(BC7&gt;0,$Y7,IF(BC6&gt;0,$Y6,IF(BC5&gt;0,$Y5,IF(BC4&gt;0,$Y4,$Y3)))))))</f>
        <v>180</v>
      </c>
      <c r="BD16" s="10"/>
      <c r="BE16" s="15" t="s">
        <v>38</v>
      </c>
      <c r="BF16" s="17">
        <f>BF15/BC16</f>
        <v>0</v>
      </c>
      <c r="BG16" s="10"/>
      <c r="BH16" s="10"/>
      <c r="BM16" s="1"/>
      <c r="BN16" s="1"/>
    </row>
    <row r="17" spans="1:66" ht="13.5" customHeight="1" x14ac:dyDescent="0.15">
      <c r="B17" s="1210"/>
      <c r="C17" s="1210"/>
      <c r="D17" s="1210"/>
      <c r="E17" s="1210"/>
      <c r="F17" s="1210"/>
      <c r="G17" s="1210"/>
      <c r="H17" s="1210"/>
      <c r="I17" s="58"/>
      <c r="J17" s="1211">
        <f>N14-0.2</f>
        <v>-0.2</v>
      </c>
      <c r="K17" s="1211"/>
      <c r="L17" s="1211"/>
      <c r="M17" s="1211"/>
      <c r="N17" s="1212"/>
      <c r="O17" s="1212"/>
      <c r="P17" s="10"/>
      <c r="Q17" s="10"/>
      <c r="R17" s="10"/>
      <c r="S17" s="12"/>
      <c r="T17" s="12"/>
      <c r="U17" s="12"/>
      <c r="V17" s="10"/>
      <c r="W17" s="10"/>
      <c r="X17" s="10"/>
      <c r="Y17" s="10"/>
      <c r="Z17" s="10"/>
      <c r="AA17" s="10"/>
      <c r="AB17" s="10">
        <f>ROUNDDOWN(AB15*-5,0)+ROUNDDOWN(V3/S75,0)*5</f>
        <v>25</v>
      </c>
      <c r="AC17" s="10" t="s">
        <v>39</v>
      </c>
      <c r="AD17" s="10"/>
      <c r="AE17" s="10"/>
      <c r="AF17" s="10"/>
      <c r="AG17" s="15" t="s">
        <v>3</v>
      </c>
      <c r="AH17" s="30">
        <f>AE16-AH15</f>
        <v>180</v>
      </c>
      <c r="AI17" s="10"/>
      <c r="AJ17" s="10"/>
      <c r="AK17" s="10">
        <f>IF(COUNTIF(AK3:AK14,"&gt;0")&gt;0,1,0)</f>
        <v>0</v>
      </c>
      <c r="AL17" s="10"/>
      <c r="AM17" s="10"/>
      <c r="AN17" s="30">
        <f>AE16-AN15</f>
        <v>180</v>
      </c>
      <c r="AO17" s="10"/>
      <c r="AP17" s="10"/>
      <c r="AQ17" s="10"/>
      <c r="AR17" s="10"/>
      <c r="AS17" s="15" t="s">
        <v>3</v>
      </c>
      <c r="AT17" s="30">
        <f>AQ16-AT15</f>
        <v>180</v>
      </c>
      <c r="AU17" s="10"/>
      <c r="AV17" s="10"/>
      <c r="AW17" s="10">
        <f>IF(COUNTIF(AW3:AW14,"&gt;0")&gt;0,1,0)</f>
        <v>0</v>
      </c>
      <c r="AX17" s="10"/>
      <c r="AY17" s="10"/>
      <c r="AZ17" s="30">
        <f>AQ16-AZ15</f>
        <v>180</v>
      </c>
      <c r="BA17" s="10"/>
      <c r="BB17" s="10"/>
      <c r="BC17" s="10"/>
      <c r="BD17" s="10"/>
      <c r="BE17" s="15" t="s">
        <v>3</v>
      </c>
      <c r="BF17" s="30">
        <f>BC16-BF15</f>
        <v>180</v>
      </c>
      <c r="BG17" s="10"/>
      <c r="BH17" s="10"/>
      <c r="BM17" s="1"/>
      <c r="BN17" s="1"/>
    </row>
    <row r="18" spans="1:66" ht="12" customHeight="1" thickBot="1" x14ac:dyDescent="0.2">
      <c r="B18" s="562"/>
      <c r="C18" s="562"/>
      <c r="D18" s="562"/>
      <c r="E18" s="562"/>
      <c r="F18" s="562"/>
      <c r="G18" s="562"/>
      <c r="H18" s="562"/>
      <c r="I18" s="58"/>
      <c r="J18" s="1213">
        <f>N14</f>
        <v>0</v>
      </c>
      <c r="K18" s="1213"/>
      <c r="L18" s="1213"/>
      <c r="M18" s="1213"/>
      <c r="N18" s="61"/>
      <c r="O18" s="62"/>
      <c r="P18" s="10"/>
      <c r="Q18" s="10"/>
      <c r="R18" s="10"/>
      <c r="S18" s="12"/>
      <c r="T18" s="12"/>
      <c r="U18" s="12"/>
      <c r="V18" s="10"/>
      <c r="W18" s="10"/>
      <c r="X18" s="10"/>
      <c r="Y18" s="10"/>
      <c r="Z18" s="10"/>
      <c r="AA18" s="10"/>
      <c r="AB18" s="10">
        <f>IF((ROUND(AB15*24,0)*-1+ROUNDDOWN(V3/S378,0)*24)&lt;6,0,ROUND(AB15*24,0)*-1+ROUNDDOWN(V3/S378,0)*24)</f>
        <v>120</v>
      </c>
      <c r="AC18" s="10" t="s">
        <v>40</v>
      </c>
      <c r="AD18" s="10"/>
      <c r="AE18" s="10"/>
      <c r="AF18" s="10"/>
      <c r="AG18" s="15"/>
      <c r="AH18" s="30"/>
      <c r="AI18" s="10"/>
      <c r="AJ18" s="10"/>
      <c r="AK18" s="10"/>
      <c r="AL18" s="10"/>
      <c r="AM18" s="10"/>
      <c r="AN18" s="30"/>
      <c r="AO18" s="10"/>
      <c r="AP18" s="10"/>
      <c r="AQ18" s="10"/>
      <c r="AR18" s="10"/>
      <c r="AS18" s="15"/>
      <c r="AT18" s="30"/>
      <c r="AU18" s="10"/>
      <c r="AV18" s="10"/>
      <c r="AW18" s="10"/>
      <c r="AX18" s="10"/>
      <c r="AY18" s="10"/>
      <c r="AZ18" s="30"/>
      <c r="BA18" s="10"/>
      <c r="BB18" s="10"/>
      <c r="BC18" s="10"/>
      <c r="BD18" s="10"/>
      <c r="BE18" s="15"/>
      <c r="BF18" s="30"/>
      <c r="BG18" s="10"/>
      <c r="BH18" s="10"/>
      <c r="BM18" s="1"/>
      <c r="BN18" s="1"/>
    </row>
    <row r="19" spans="1:66" ht="11.25" customHeight="1" x14ac:dyDescent="0.25">
      <c r="J19"/>
      <c r="P19" s="10"/>
      <c r="Q19" s="10"/>
      <c r="R19" s="10"/>
      <c r="S19" s="12"/>
      <c r="T19" s="12"/>
      <c r="U19" s="12"/>
      <c r="V19" s="10"/>
      <c r="W19" s="10"/>
      <c r="X19" s="10"/>
      <c r="BM19" s="1"/>
      <c r="BN19" s="1"/>
    </row>
    <row r="20" spans="1:66" ht="3" customHeight="1" thickBot="1" x14ac:dyDescent="0.3">
      <c r="J20"/>
      <c r="P20" s="10"/>
      <c r="Q20" s="10"/>
      <c r="R20" s="10"/>
      <c r="S20" s="814"/>
      <c r="T20" s="814"/>
      <c r="U20" s="814"/>
      <c r="V20" s="10"/>
      <c r="W20" s="10"/>
      <c r="X20" s="10"/>
      <c r="BM20" s="1"/>
      <c r="BN20" s="1"/>
    </row>
    <row r="21" spans="1:66" ht="11.25" customHeight="1" x14ac:dyDescent="0.25">
      <c r="A21" s="1" t="str">
        <f>IF(R21=0,"",COUNTIF(A20:A$32,"&gt;0")+1)</f>
        <v/>
      </c>
      <c r="B21" s="1114" t="s">
        <v>41</v>
      </c>
      <c r="C21" s="1115"/>
      <c r="D21" s="1118" t="s">
        <v>1442</v>
      </c>
      <c r="E21" s="1119"/>
      <c r="F21" s="1119"/>
      <c r="G21" s="1119"/>
      <c r="H21" s="1119"/>
      <c r="I21" s="1119"/>
      <c r="J21" s="1119"/>
      <c r="K21" s="1119"/>
      <c r="L21" s="1119"/>
      <c r="M21" s="1119"/>
      <c r="N21" s="1119"/>
      <c r="O21" s="1120"/>
      <c r="P21" s="10"/>
      <c r="Q21" s="10"/>
      <c r="R21" s="10"/>
      <c r="S21" s="814"/>
      <c r="T21" s="814"/>
      <c r="U21" s="814"/>
      <c r="V21" s="10"/>
      <c r="W21" s="10"/>
      <c r="X21" s="10"/>
      <c r="BM21" s="1"/>
      <c r="BN21" s="1"/>
    </row>
    <row r="22" spans="1:66" ht="11.25" customHeight="1" thickBot="1" x14ac:dyDescent="0.3">
      <c r="A22" s="1" t="str">
        <f>IF(R22=0,"",COUNTIF(A21:A$32,"&gt;0")+1)</f>
        <v/>
      </c>
      <c r="B22" s="1116"/>
      <c r="C22" s="1117"/>
      <c r="D22" s="1121"/>
      <c r="E22" s="1122"/>
      <c r="F22" s="1122"/>
      <c r="G22" s="1122"/>
      <c r="H22" s="1122"/>
      <c r="I22" s="1122"/>
      <c r="J22" s="1122"/>
      <c r="K22" s="1122"/>
      <c r="L22" s="1122"/>
      <c r="M22" s="1122"/>
      <c r="N22" s="1122"/>
      <c r="O22" s="1123"/>
      <c r="P22" s="10"/>
      <c r="Q22" s="10"/>
      <c r="R22" s="10"/>
      <c r="S22" s="814"/>
      <c r="T22" s="814"/>
      <c r="U22" s="814"/>
      <c r="V22" s="10"/>
      <c r="W22" s="10"/>
      <c r="X22" s="10"/>
      <c r="BM22" s="1"/>
      <c r="BN22" s="1"/>
    </row>
    <row r="23" spans="1:66" ht="14.25" customHeight="1" x14ac:dyDescent="0.25">
      <c r="A23" s="1" t="str">
        <f>IF(R23=0,"",COUNTIF(A21:A$22,"&gt;0")+1)</f>
        <v/>
      </c>
      <c r="B23" s="1021"/>
      <c r="C23" s="1022" t="s">
        <v>42</v>
      </c>
      <c r="D23" s="815" t="s">
        <v>1460</v>
      </c>
      <c r="E23" s="816"/>
      <c r="F23" s="816"/>
      <c r="G23" s="817"/>
      <c r="H23" s="1124" t="s">
        <v>1453</v>
      </c>
      <c r="I23" s="1125"/>
      <c r="J23" s="1125"/>
      <c r="K23" s="1125"/>
      <c r="L23" s="1125"/>
      <c r="M23" s="1125"/>
      <c r="N23" s="1125"/>
      <c r="O23" s="1126"/>
      <c r="P23" s="529"/>
      <c r="Q23" s="542" t="s">
        <v>1454</v>
      </c>
      <c r="R23" s="10">
        <f t="shared" ref="R23:R30" si="0">B23</f>
        <v>0</v>
      </c>
      <c r="S23" s="542">
        <v>30</v>
      </c>
      <c r="T23" s="542">
        <v>1</v>
      </c>
      <c r="U23" s="10">
        <f t="shared" ref="U23:U30" si="1">T23*B23</f>
        <v>0</v>
      </c>
      <c r="V23" s="529"/>
      <c r="W23" s="529"/>
      <c r="X23" s="529"/>
      <c r="Y23" s="529"/>
      <c r="Z23" s="529"/>
      <c r="BM23" s="1"/>
      <c r="BN23" s="1"/>
    </row>
    <row r="24" spans="1:66" ht="14.25" customHeight="1" x14ac:dyDescent="0.25">
      <c r="A24" s="1" t="str">
        <f>IF(R24=0,"",COUNTIF(A22:A$22,"&gt;0")+1)</f>
        <v/>
      </c>
      <c r="B24" s="1023">
        <f>SUM(B23)</f>
        <v>0</v>
      </c>
      <c r="C24" s="1024" t="s">
        <v>42</v>
      </c>
      <c r="D24" s="815" t="s">
        <v>1467</v>
      </c>
      <c r="E24" s="816"/>
      <c r="F24" s="816"/>
      <c r="G24" s="817"/>
      <c r="H24" s="1124" t="s">
        <v>1448</v>
      </c>
      <c r="I24" s="1125"/>
      <c r="J24" s="1125"/>
      <c r="K24" s="1125"/>
      <c r="L24" s="1125"/>
      <c r="M24" s="1125"/>
      <c r="N24" s="1125"/>
      <c r="O24" s="1126"/>
      <c r="P24" s="529"/>
      <c r="Q24" s="542" t="s">
        <v>1454</v>
      </c>
      <c r="R24" s="10">
        <f t="shared" si="0"/>
        <v>0</v>
      </c>
      <c r="S24" s="542">
        <v>30</v>
      </c>
      <c r="T24" s="542">
        <v>1</v>
      </c>
      <c r="U24" s="10">
        <f t="shared" si="1"/>
        <v>0</v>
      </c>
      <c r="V24" s="529"/>
      <c r="W24" s="529"/>
      <c r="X24" s="529"/>
      <c r="Y24" s="529"/>
      <c r="Z24" s="529"/>
      <c r="BM24" s="1"/>
      <c r="BN24" s="1"/>
    </row>
    <row r="25" spans="1:66" ht="14.25" customHeight="1" x14ac:dyDescent="0.25">
      <c r="A25" s="1" t="str">
        <f>IF(R25=0,"",COUNTIF(A$22:A23,"&gt;0")+1)</f>
        <v/>
      </c>
      <c r="B25" s="1023"/>
      <c r="C25" s="1025" t="s">
        <v>528</v>
      </c>
      <c r="D25" s="1000" t="s">
        <v>892</v>
      </c>
      <c r="E25" s="1000"/>
      <c r="F25" s="1000"/>
      <c r="G25" s="1001"/>
      <c r="H25" s="1130" t="s">
        <v>1482</v>
      </c>
      <c r="I25" s="1131"/>
      <c r="J25" s="1131"/>
      <c r="K25" s="1131"/>
      <c r="L25" s="1131"/>
      <c r="M25" s="1131"/>
      <c r="N25" s="1131"/>
      <c r="O25" s="1132"/>
      <c r="P25" s="529"/>
      <c r="Q25" s="542" t="s">
        <v>1454</v>
      </c>
      <c r="R25" s="10">
        <f t="shared" ref="R25:R26" si="2">B25</f>
        <v>0</v>
      </c>
      <c r="S25" s="542">
        <v>30</v>
      </c>
      <c r="T25" s="542">
        <v>1</v>
      </c>
      <c r="U25" s="10">
        <f t="shared" ref="U25:U26" si="3">T25*B25</f>
        <v>0</v>
      </c>
      <c r="V25" s="529"/>
      <c r="W25" s="529"/>
      <c r="X25" s="529"/>
      <c r="Y25" s="529"/>
      <c r="Z25" s="529"/>
      <c r="BM25" s="1"/>
      <c r="BN25" s="1"/>
    </row>
    <row r="26" spans="1:66" ht="14.25" customHeight="1" x14ac:dyDescent="0.25">
      <c r="A26" s="1" t="str">
        <f>IF(R26=0,"",COUNTIF(A$22:A24,"&gt;0")+1)</f>
        <v/>
      </c>
      <c r="B26" s="1026">
        <f>SUM(B25)</f>
        <v>0</v>
      </c>
      <c r="C26" s="1027" t="s">
        <v>528</v>
      </c>
      <c r="D26" s="1002" t="s">
        <v>1486</v>
      </c>
      <c r="E26" s="215"/>
      <c r="F26" s="215"/>
      <c r="G26" s="1001"/>
      <c r="H26" s="1133" t="s">
        <v>1487</v>
      </c>
      <c r="I26" s="1134"/>
      <c r="J26" s="1134"/>
      <c r="K26" s="1134"/>
      <c r="L26" s="1134"/>
      <c r="M26" s="1134"/>
      <c r="N26" s="1134"/>
      <c r="O26" s="1135"/>
      <c r="P26" s="10" t="str">
        <f>VLOOKUP(D26,A!A$1:G$767,2,FALSE)</f>
        <v>y</v>
      </c>
      <c r="Q26" s="542" t="s">
        <v>1454</v>
      </c>
      <c r="R26" s="10">
        <f t="shared" si="2"/>
        <v>0</v>
      </c>
      <c r="S26" s="542">
        <v>30</v>
      </c>
      <c r="T26" s="542">
        <v>1</v>
      </c>
      <c r="U26" s="10">
        <f t="shared" si="3"/>
        <v>0</v>
      </c>
      <c r="V26" s="529"/>
      <c r="W26" s="529"/>
      <c r="X26" s="529"/>
      <c r="Y26" s="529"/>
      <c r="Z26" s="529"/>
      <c r="BM26" s="1"/>
      <c r="BN26" s="1"/>
    </row>
    <row r="27" spans="1:66" ht="14.25" customHeight="1" x14ac:dyDescent="0.25">
      <c r="A27" s="1" t="str">
        <f>IF(R27=0,"",COUNTIF(A$22:A25,"&gt;0")+1)</f>
        <v/>
      </c>
      <c r="B27" s="1023"/>
      <c r="C27" s="817" t="s">
        <v>42</v>
      </c>
      <c r="D27" s="815" t="s">
        <v>1443</v>
      </c>
      <c r="E27" s="818"/>
      <c r="F27" s="816"/>
      <c r="G27" s="817"/>
      <c r="H27" s="1124" t="s">
        <v>1449</v>
      </c>
      <c r="I27" s="1125"/>
      <c r="J27" s="1125"/>
      <c r="K27" s="1125"/>
      <c r="L27" s="1125"/>
      <c r="M27" s="1125"/>
      <c r="N27" s="1125"/>
      <c r="O27" s="1126"/>
      <c r="P27" s="529"/>
      <c r="Q27" s="542" t="s">
        <v>1454</v>
      </c>
      <c r="R27" s="10">
        <f t="shared" si="0"/>
        <v>0</v>
      </c>
      <c r="S27" s="542">
        <v>30</v>
      </c>
      <c r="T27" s="542">
        <v>1</v>
      </c>
      <c r="U27" s="10">
        <f t="shared" si="1"/>
        <v>0</v>
      </c>
      <c r="V27" s="529"/>
      <c r="W27" s="529"/>
      <c r="X27" s="529"/>
      <c r="Y27" s="529"/>
      <c r="Z27" s="529"/>
      <c r="BM27" s="1"/>
      <c r="BN27" s="1"/>
    </row>
    <row r="28" spans="1:66" ht="14.25" customHeight="1" x14ac:dyDescent="0.25">
      <c r="A28" s="1" t="str">
        <f>IF(R28=0,"",COUNTIF(A$22:A26,"&gt;0")+1)</f>
        <v/>
      </c>
      <c r="B28" s="1023">
        <f>SUM(B27)</f>
        <v>0</v>
      </c>
      <c r="C28" s="1024" t="s">
        <v>42</v>
      </c>
      <c r="D28" s="815" t="s">
        <v>1441</v>
      </c>
      <c r="E28" s="818"/>
      <c r="F28" s="816"/>
      <c r="G28" s="817"/>
      <c r="H28" s="1124" t="s">
        <v>1450</v>
      </c>
      <c r="I28" s="1125"/>
      <c r="J28" s="1125"/>
      <c r="K28" s="1125"/>
      <c r="L28" s="1125"/>
      <c r="M28" s="1125"/>
      <c r="N28" s="1125"/>
      <c r="O28" s="1126"/>
      <c r="P28" s="529"/>
      <c r="Q28" s="542" t="s">
        <v>1454</v>
      </c>
      <c r="R28" s="10">
        <f t="shared" si="0"/>
        <v>0</v>
      </c>
      <c r="S28" s="542">
        <v>30</v>
      </c>
      <c r="T28" s="542">
        <v>1</v>
      </c>
      <c r="U28" s="10">
        <f t="shared" si="1"/>
        <v>0</v>
      </c>
      <c r="V28" s="529"/>
      <c r="W28" s="529"/>
      <c r="X28" s="529"/>
      <c r="Y28" s="529"/>
      <c r="Z28" s="529"/>
      <c r="BM28" s="1"/>
      <c r="BN28" s="1"/>
    </row>
    <row r="29" spans="1:66" ht="14.25" customHeight="1" x14ac:dyDescent="0.25">
      <c r="A29" s="1" t="str">
        <f>IF(R29=0,"",COUNTIF(A$22:A28,"&gt;0")+1)</f>
        <v/>
      </c>
      <c r="B29" s="1023"/>
      <c r="C29" s="817" t="s">
        <v>42</v>
      </c>
      <c r="D29" s="815" t="s">
        <v>1445</v>
      </c>
      <c r="E29" s="818"/>
      <c r="F29" s="816"/>
      <c r="G29" s="817"/>
      <c r="H29" s="1127" t="s">
        <v>1447</v>
      </c>
      <c r="I29" s="1128"/>
      <c r="J29" s="1128"/>
      <c r="K29" s="1128"/>
      <c r="L29" s="1128"/>
      <c r="M29" s="1128"/>
      <c r="N29" s="1128"/>
      <c r="O29" s="1129"/>
      <c r="P29" s="529"/>
      <c r="Q29" s="542" t="s">
        <v>1454</v>
      </c>
      <c r="R29" s="10">
        <f t="shared" si="0"/>
        <v>0</v>
      </c>
      <c r="S29" s="542">
        <v>30</v>
      </c>
      <c r="T29" s="542">
        <v>1</v>
      </c>
      <c r="U29" s="10">
        <f t="shared" si="1"/>
        <v>0</v>
      </c>
      <c r="V29" s="529"/>
      <c r="W29" s="529"/>
      <c r="X29" s="529"/>
      <c r="Y29" s="529"/>
      <c r="Z29" s="529"/>
      <c r="BM29" s="1"/>
      <c r="BN29" s="1"/>
    </row>
    <row r="30" spans="1:66" ht="14.25" customHeight="1" thickBot="1" x14ac:dyDescent="0.3">
      <c r="A30" s="1" t="str">
        <f>IF(R30=0,"",COUNTIF(A$22:A28,"&gt;0")+1)</f>
        <v/>
      </c>
      <c r="B30" s="1028">
        <f>SUM(B29)</f>
        <v>0</v>
      </c>
      <c r="C30" s="822" t="s">
        <v>42</v>
      </c>
      <c r="D30" s="819" t="s">
        <v>1446</v>
      </c>
      <c r="E30" s="820"/>
      <c r="F30" s="821"/>
      <c r="G30" s="822"/>
      <c r="H30" s="1111" t="s">
        <v>1452</v>
      </c>
      <c r="I30" s="1112"/>
      <c r="J30" s="1112"/>
      <c r="K30" s="1112"/>
      <c r="L30" s="1112"/>
      <c r="M30" s="1112"/>
      <c r="N30" s="1112"/>
      <c r="O30" s="1113"/>
      <c r="P30" s="529"/>
      <c r="Q30" s="542" t="s">
        <v>1454</v>
      </c>
      <c r="R30" s="10">
        <f t="shared" si="0"/>
        <v>0</v>
      </c>
      <c r="S30" s="542">
        <v>30</v>
      </c>
      <c r="T30" s="542">
        <v>1</v>
      </c>
      <c r="U30" s="10">
        <f t="shared" si="1"/>
        <v>0</v>
      </c>
      <c r="V30" s="529"/>
      <c r="W30" s="529"/>
      <c r="X30" s="529"/>
      <c r="Y30" s="529"/>
      <c r="Z30" s="529"/>
      <c r="BM30" s="1"/>
      <c r="BN30" s="1"/>
    </row>
    <row r="31" spans="1:66" ht="6.75" customHeight="1" thickBot="1" x14ac:dyDescent="0.3">
      <c r="A31" s="1" t="str">
        <f>IF(R31=0,"",COUNTIF(A$23:A30,"&gt;0")+1)</f>
        <v/>
      </c>
      <c r="J31"/>
      <c r="P31" s="10"/>
      <c r="Q31" s="10"/>
      <c r="R31" s="10"/>
      <c r="S31" s="814"/>
      <c r="T31" s="814"/>
      <c r="U31" s="814"/>
      <c r="V31" s="10"/>
      <c r="W31" s="10"/>
      <c r="X31" s="10"/>
      <c r="BM31" s="1"/>
      <c r="BN31" s="1"/>
    </row>
    <row r="32" spans="1:66" s="529" customFormat="1" ht="13.5" customHeight="1" x14ac:dyDescent="0.25">
      <c r="A32" s="1" t="str">
        <f>IF(R32=0,"",COUNTIF(A$23:A31,"&gt;0")+1)</f>
        <v/>
      </c>
      <c r="B32" s="1140" t="s">
        <v>41</v>
      </c>
      <c r="C32" s="1141"/>
      <c r="D32" s="1150" t="s">
        <v>1488</v>
      </c>
      <c r="E32" s="1141"/>
      <c r="F32" s="1141"/>
      <c r="G32" s="1141"/>
      <c r="H32" s="1141"/>
      <c r="I32" s="1141"/>
      <c r="J32" s="1141"/>
      <c r="K32" s="1141"/>
      <c r="L32" s="1151"/>
      <c r="M32" s="1144" t="s">
        <v>1490</v>
      </c>
      <c r="N32" s="1145"/>
      <c r="O32" s="1146"/>
    </row>
    <row r="33" spans="1:22" s="529" customFormat="1" ht="9.75" customHeight="1" x14ac:dyDescent="0.25">
      <c r="A33" s="1" t="str">
        <f>IF(R33=0,"",COUNTIF(A$23:A32,"&gt;0")+1)</f>
        <v/>
      </c>
      <c r="B33" s="1142"/>
      <c r="C33" s="1143"/>
      <c r="D33" s="1152"/>
      <c r="E33" s="1143"/>
      <c r="F33" s="1143"/>
      <c r="G33" s="1143"/>
      <c r="H33" s="1143"/>
      <c r="I33" s="1143"/>
      <c r="J33" s="1143"/>
      <c r="K33" s="1143"/>
      <c r="L33" s="1153"/>
      <c r="M33" s="1147"/>
      <c r="N33" s="1148"/>
      <c r="O33" s="1149"/>
    </row>
    <row r="34" spans="1:22" s="529" customFormat="1" ht="9.75" hidden="1" customHeight="1" x14ac:dyDescent="0.25">
      <c r="A34" s="1" t="str">
        <f>IF(R34=0,"",COUNTIF(A$23:A33,"&gt;0")+1)</f>
        <v/>
      </c>
      <c r="B34" s="637"/>
      <c r="C34" s="1003" t="s">
        <v>42</v>
      </c>
      <c r="D34" s="1137" t="s">
        <v>1342</v>
      </c>
      <c r="E34" s="1138"/>
      <c r="F34" s="1138"/>
      <c r="G34" s="1138"/>
      <c r="H34" s="1138"/>
      <c r="I34" s="1138"/>
      <c r="J34" s="1138"/>
      <c r="K34" s="1138"/>
      <c r="L34" s="1139"/>
      <c r="M34" s="1101">
        <v>609</v>
      </c>
      <c r="N34" s="1102"/>
      <c r="O34" s="1103"/>
      <c r="P34" s="10"/>
      <c r="Q34" s="10" t="s">
        <v>1157</v>
      </c>
      <c r="R34" s="10">
        <f>B34</f>
        <v>0</v>
      </c>
      <c r="S34" s="10">
        <v>35</v>
      </c>
      <c r="T34" s="10">
        <v>5</v>
      </c>
      <c r="U34" s="10">
        <f>T34*B34</f>
        <v>0</v>
      </c>
      <c r="V34" s="5"/>
    </row>
    <row r="35" spans="1:22" s="529" customFormat="1" ht="22.5" customHeight="1" x14ac:dyDescent="0.25">
      <c r="A35" s="1" t="str">
        <f>IF(R35=0,"",COUNTIF(A$23:A34,"&gt;0")+1)</f>
        <v/>
      </c>
      <c r="B35" s="637"/>
      <c r="C35" s="1003" t="s">
        <v>42</v>
      </c>
      <c r="D35" s="1137" t="s">
        <v>1337</v>
      </c>
      <c r="E35" s="1138"/>
      <c r="F35" s="1138"/>
      <c r="G35" s="1138"/>
      <c r="H35" s="1138"/>
      <c r="I35" s="1138"/>
      <c r="J35" s="1138"/>
      <c r="K35" s="1138"/>
      <c r="L35" s="1139"/>
      <c r="M35" s="1101">
        <v>585</v>
      </c>
      <c r="N35" s="1102"/>
      <c r="O35" s="1103"/>
      <c r="P35" s="10"/>
      <c r="Q35" s="10" t="s">
        <v>1157</v>
      </c>
      <c r="R35" s="10">
        <f>B35</f>
        <v>0</v>
      </c>
      <c r="S35" s="10">
        <v>35</v>
      </c>
      <c r="T35" s="10">
        <v>5</v>
      </c>
      <c r="U35" s="10">
        <f>T35*B35</f>
        <v>0</v>
      </c>
      <c r="V35" s="5"/>
    </row>
    <row r="36" spans="1:22" s="529" customFormat="1" ht="27" customHeight="1" x14ac:dyDescent="0.25">
      <c r="A36" s="1" t="str">
        <f>IF(R36=0,"",COUNTIF(A$23:A35,"&gt;0")+1)</f>
        <v/>
      </c>
      <c r="B36" s="637"/>
      <c r="C36" s="1003" t="s">
        <v>42</v>
      </c>
      <c r="D36" s="1137" t="s">
        <v>1336</v>
      </c>
      <c r="E36" s="1138"/>
      <c r="F36" s="1138"/>
      <c r="G36" s="1138"/>
      <c r="H36" s="1138"/>
      <c r="I36" s="1138"/>
      <c r="J36" s="1138"/>
      <c r="K36" s="1138"/>
      <c r="L36" s="1139"/>
      <c r="M36" s="1101">
        <v>551</v>
      </c>
      <c r="N36" s="1102"/>
      <c r="O36" s="1103"/>
      <c r="P36" s="10"/>
      <c r="Q36" s="10" t="s">
        <v>1157</v>
      </c>
      <c r="R36" s="10">
        <f>B36</f>
        <v>0</v>
      </c>
      <c r="S36" s="10">
        <v>35</v>
      </c>
      <c r="T36" s="10">
        <v>5</v>
      </c>
      <c r="U36" s="10">
        <f>T36*B36</f>
        <v>0</v>
      </c>
      <c r="V36" s="5"/>
    </row>
    <row r="37" spans="1:22" s="529" customFormat="1" ht="27" customHeight="1" x14ac:dyDescent="0.25">
      <c r="A37" s="1" t="str">
        <f>IF(R37=0,"",COUNTIF(A$23:A36,"&gt;0")+1)</f>
        <v/>
      </c>
      <c r="B37" s="637"/>
      <c r="C37" s="1003" t="s">
        <v>42</v>
      </c>
      <c r="D37" s="1137" t="s">
        <v>1338</v>
      </c>
      <c r="E37" s="1138"/>
      <c r="F37" s="1138"/>
      <c r="G37" s="1138"/>
      <c r="H37" s="1138"/>
      <c r="I37" s="1138"/>
      <c r="J37" s="1138"/>
      <c r="K37" s="1138"/>
      <c r="L37" s="1139"/>
      <c r="M37" s="1101">
        <v>880</v>
      </c>
      <c r="N37" s="1102"/>
      <c r="O37" s="1103"/>
      <c r="P37" s="10"/>
      <c r="Q37" s="10" t="s">
        <v>1157</v>
      </c>
      <c r="R37" s="10">
        <f>B37</f>
        <v>0</v>
      </c>
      <c r="S37" s="10">
        <v>35</v>
      </c>
      <c r="T37" s="10">
        <v>10</v>
      </c>
      <c r="U37" s="10">
        <f>T37*B37</f>
        <v>0</v>
      </c>
      <c r="V37" s="5"/>
    </row>
    <row r="38" spans="1:22" s="529" customFormat="1" ht="27" customHeight="1" thickBot="1" x14ac:dyDescent="0.3">
      <c r="A38" s="1" t="str">
        <f>IF(R38=0,"",COUNTIF(A$23:A37,"&gt;0")+1)</f>
        <v/>
      </c>
      <c r="B38" s="638"/>
      <c r="C38" s="1004" t="s">
        <v>42</v>
      </c>
      <c r="D38" s="1158" t="s">
        <v>1339</v>
      </c>
      <c r="E38" s="1159"/>
      <c r="F38" s="1159"/>
      <c r="G38" s="1159"/>
      <c r="H38" s="1159"/>
      <c r="I38" s="1159"/>
      <c r="J38" s="1159"/>
      <c r="K38" s="1159"/>
      <c r="L38" s="1160"/>
      <c r="M38" s="1104">
        <v>862</v>
      </c>
      <c r="N38" s="1105"/>
      <c r="O38" s="1106"/>
      <c r="P38" s="10"/>
      <c r="Q38" s="10" t="s">
        <v>1157</v>
      </c>
      <c r="R38" s="10">
        <f>B38</f>
        <v>0</v>
      </c>
      <c r="S38" s="10">
        <v>35</v>
      </c>
      <c r="T38" s="10">
        <v>10</v>
      </c>
      <c r="U38" s="10">
        <f>T38*B38</f>
        <v>0</v>
      </c>
      <c r="V38" s="5"/>
    </row>
    <row r="39" spans="1:22" s="529" customFormat="1" ht="11.25" customHeight="1" thickBot="1" x14ac:dyDescent="0.3">
      <c r="A39" s="1" t="str">
        <f>IF(R39=0,"",COUNTIF(A$23:A38,"&gt;0")+1)</f>
        <v/>
      </c>
      <c r="B39" s="633"/>
      <c r="C39" s="634"/>
      <c r="D39" s="635"/>
      <c r="E39" s="530"/>
      <c r="F39" s="531"/>
      <c r="G39" s="531"/>
      <c r="H39" s="531"/>
      <c r="I39" s="531"/>
      <c r="J39" s="531"/>
      <c r="K39" s="531"/>
      <c r="L39" s="531"/>
      <c r="M39" s="636"/>
      <c r="N39" s="636"/>
      <c r="O39" s="636"/>
      <c r="P39" s="10"/>
      <c r="Q39" s="10"/>
      <c r="R39" s="10"/>
      <c r="S39" s="10"/>
      <c r="T39" s="10"/>
      <c r="U39" s="10"/>
      <c r="V39" s="5"/>
    </row>
    <row r="40" spans="1:22" s="529" customFormat="1" ht="12" customHeight="1" x14ac:dyDescent="0.25">
      <c r="A40" s="1" t="str">
        <f>IF(R40=0,"",COUNTIF(A$23:A39,"&gt;0")+1)</f>
        <v/>
      </c>
      <c r="B40" s="1107" t="s">
        <v>41</v>
      </c>
      <c r="C40" s="1108"/>
      <c r="D40" s="1282" t="s">
        <v>1440</v>
      </c>
      <c r="E40" s="1283"/>
      <c r="F40" s="1283"/>
      <c r="G40" s="1283"/>
      <c r="H40" s="1283"/>
      <c r="I40" s="1283"/>
      <c r="J40" s="1283"/>
      <c r="K40" s="1283"/>
      <c r="L40" s="1283"/>
      <c r="M40" s="1283"/>
      <c r="N40" s="1283"/>
      <c r="O40" s="1284"/>
    </row>
    <row r="41" spans="1:22" s="529" customFormat="1" ht="12" customHeight="1" x14ac:dyDescent="0.25">
      <c r="A41" s="1" t="str">
        <f>IF(R41=0,"",COUNTIF(A$23:A40,"&gt;0")+1)</f>
        <v/>
      </c>
      <c r="B41" s="1087" t="s">
        <v>1280</v>
      </c>
      <c r="C41" s="1088"/>
      <c r="D41" s="1285"/>
      <c r="E41" s="1286"/>
      <c r="F41" s="1286"/>
      <c r="G41" s="1286"/>
      <c r="H41" s="1286"/>
      <c r="I41" s="1286"/>
      <c r="J41" s="1286"/>
      <c r="K41" s="1286"/>
      <c r="L41" s="1286"/>
      <c r="M41" s="1286"/>
      <c r="N41" s="1286"/>
      <c r="O41" s="1287"/>
    </row>
    <row r="42" spans="1:22" s="529" customFormat="1" ht="12" customHeight="1" thickBot="1" x14ac:dyDescent="0.3">
      <c r="A42" s="1" t="str">
        <f>IF(R42=0,"",COUNTIF(A$23:A41,"&gt;0")+1)</f>
        <v/>
      </c>
      <c r="B42" s="1089"/>
      <c r="C42" s="1090"/>
      <c r="D42" s="1288"/>
      <c r="E42" s="1289"/>
      <c r="F42" s="1289"/>
      <c r="G42" s="1289"/>
      <c r="H42" s="1289"/>
      <c r="I42" s="1289"/>
      <c r="J42" s="1289"/>
      <c r="K42" s="1289"/>
      <c r="L42" s="1289"/>
      <c r="M42" s="1289"/>
      <c r="N42" s="1289"/>
      <c r="O42" s="1290"/>
      <c r="U42" s="10"/>
    </row>
    <row r="43" spans="1:22" s="529" customFormat="1" ht="21.75" customHeight="1" x14ac:dyDescent="0.25">
      <c r="A43" s="1" t="str">
        <f>IF(R43=0,"",COUNTIF(A$23:A42,"&gt;0")+1)</f>
        <v/>
      </c>
      <c r="B43" s="639"/>
      <c r="C43" s="640" t="s">
        <v>42</v>
      </c>
      <c r="D43" s="1081" t="s">
        <v>1493</v>
      </c>
      <c r="E43" s="1082"/>
      <c r="F43" s="1082"/>
      <c r="G43" s="1082"/>
      <c r="H43" s="1082"/>
      <c r="I43" s="1082"/>
      <c r="J43" s="1082"/>
      <c r="K43" s="1082"/>
      <c r="L43" s="1082"/>
      <c r="M43" s="1082"/>
      <c r="N43" s="1082"/>
      <c r="O43" s="1083"/>
      <c r="Q43" s="542" t="s">
        <v>1287</v>
      </c>
      <c r="R43" s="10">
        <f t="shared" ref="R43:R52" si="4">B43</f>
        <v>0</v>
      </c>
      <c r="S43" s="542">
        <v>30</v>
      </c>
      <c r="T43" s="542">
        <v>1</v>
      </c>
      <c r="U43" s="10">
        <f t="shared" ref="U43:U52" si="5">T43*B43</f>
        <v>0</v>
      </c>
    </row>
    <row r="44" spans="1:22" s="529" customFormat="1" ht="21.75" customHeight="1" x14ac:dyDescent="0.25">
      <c r="A44" s="1" t="str">
        <f>IF(R44=0,"",COUNTIF(A$23:A43,"&gt;0")+1)</f>
        <v/>
      </c>
      <c r="B44" s="641"/>
      <c r="C44" s="642" t="s">
        <v>42</v>
      </c>
      <c r="D44" s="1084" t="s">
        <v>1501</v>
      </c>
      <c r="E44" s="1085"/>
      <c r="F44" s="1085"/>
      <c r="G44" s="1085"/>
      <c r="H44" s="1085"/>
      <c r="I44" s="1085"/>
      <c r="J44" s="1085"/>
      <c r="K44" s="1085"/>
      <c r="L44" s="1085"/>
      <c r="M44" s="1085"/>
      <c r="N44" s="1085"/>
      <c r="O44" s="1086"/>
      <c r="Q44" s="542" t="s">
        <v>1287</v>
      </c>
      <c r="R44" s="10">
        <f t="shared" si="4"/>
        <v>0</v>
      </c>
      <c r="S44" s="542">
        <v>30</v>
      </c>
      <c r="T44" s="542">
        <v>1</v>
      </c>
      <c r="U44" s="10">
        <f t="shared" si="5"/>
        <v>0</v>
      </c>
    </row>
    <row r="45" spans="1:22" s="529" customFormat="1" ht="21.75" customHeight="1" x14ac:dyDescent="0.25">
      <c r="A45" s="1" t="str">
        <f>IF(R45=0,"",COUNTIF(A$23:A44,"&gt;0")+1)</f>
        <v/>
      </c>
      <c r="B45" s="641"/>
      <c r="C45" s="642" t="s">
        <v>42</v>
      </c>
      <c r="D45" s="1095" t="s">
        <v>1502</v>
      </c>
      <c r="E45" s="1096"/>
      <c r="F45" s="1096"/>
      <c r="G45" s="1096"/>
      <c r="H45" s="1096"/>
      <c r="I45" s="1096"/>
      <c r="J45" s="1096"/>
      <c r="K45" s="1096"/>
      <c r="L45" s="1096"/>
      <c r="M45" s="1096"/>
      <c r="N45" s="1096"/>
      <c r="O45" s="1097"/>
      <c r="P45" s="1031" t="s">
        <v>1497</v>
      </c>
      <c r="Q45" s="542" t="s">
        <v>1287</v>
      </c>
      <c r="R45" s="10">
        <f t="shared" si="4"/>
        <v>0</v>
      </c>
      <c r="S45" s="542">
        <v>30</v>
      </c>
      <c r="T45" s="542">
        <v>1</v>
      </c>
      <c r="U45" s="10">
        <f t="shared" si="5"/>
        <v>0</v>
      </c>
    </row>
    <row r="46" spans="1:22" s="529" customFormat="1" ht="21.75" customHeight="1" x14ac:dyDescent="0.25">
      <c r="A46" s="1" t="str">
        <f>IF(R46=0,"",COUNTIF(A$23:A45,"&gt;0")+1)</f>
        <v/>
      </c>
      <c r="B46" s="641"/>
      <c r="C46" s="642" t="s">
        <v>42</v>
      </c>
      <c r="D46" s="1095" t="s">
        <v>1494</v>
      </c>
      <c r="E46" s="1096"/>
      <c r="F46" s="1096"/>
      <c r="G46" s="1096"/>
      <c r="H46" s="1096"/>
      <c r="I46" s="1096"/>
      <c r="J46" s="1096"/>
      <c r="K46" s="1096"/>
      <c r="L46" s="1096"/>
      <c r="M46" s="1096"/>
      <c r="N46" s="1096"/>
      <c r="O46" s="1097"/>
      <c r="Q46" s="542" t="s">
        <v>1287</v>
      </c>
      <c r="R46" s="10">
        <f>B46</f>
        <v>0</v>
      </c>
      <c r="S46" s="542">
        <v>30</v>
      </c>
      <c r="T46" s="542">
        <v>1</v>
      </c>
      <c r="U46" s="10">
        <f>T46*B46</f>
        <v>0</v>
      </c>
    </row>
    <row r="47" spans="1:22" s="529" customFormat="1" ht="21.75" customHeight="1" x14ac:dyDescent="0.25">
      <c r="A47" s="1" t="str">
        <f>IF(R47=0,"",COUNTIF(A$23:A46,"&gt;0")+1)</f>
        <v/>
      </c>
      <c r="B47" s="641"/>
      <c r="C47" s="642" t="s">
        <v>42</v>
      </c>
      <c r="D47" s="1098" t="s">
        <v>1495</v>
      </c>
      <c r="E47" s="1099"/>
      <c r="F47" s="1099"/>
      <c r="G47" s="1099"/>
      <c r="H47" s="1099"/>
      <c r="I47" s="1099"/>
      <c r="J47" s="1099"/>
      <c r="K47" s="1099"/>
      <c r="L47" s="1099"/>
      <c r="M47" s="1099"/>
      <c r="N47" s="1099"/>
      <c r="O47" s="1100"/>
      <c r="Q47" s="542" t="s">
        <v>1287</v>
      </c>
      <c r="R47" s="10">
        <f t="shared" si="4"/>
        <v>0</v>
      </c>
      <c r="S47" s="542">
        <v>30</v>
      </c>
      <c r="T47" s="542">
        <v>1</v>
      </c>
      <c r="U47" s="10">
        <f t="shared" si="5"/>
        <v>0</v>
      </c>
    </row>
    <row r="48" spans="1:22" s="529" customFormat="1" ht="21.75" customHeight="1" x14ac:dyDescent="0.25">
      <c r="A48" s="1" t="str">
        <f>IF(R48=0,"",COUNTIF(A$23:A47,"&gt;0")+1)</f>
        <v/>
      </c>
      <c r="B48" s="641"/>
      <c r="C48" s="642" t="s">
        <v>42</v>
      </c>
      <c r="D48" s="1084" t="s">
        <v>1496</v>
      </c>
      <c r="E48" s="1085"/>
      <c r="F48" s="1085"/>
      <c r="G48" s="1085"/>
      <c r="H48" s="1085"/>
      <c r="I48" s="1085"/>
      <c r="J48" s="1085"/>
      <c r="K48" s="1085"/>
      <c r="L48" s="1085"/>
      <c r="M48" s="1085"/>
      <c r="N48" s="1085"/>
      <c r="O48" s="1086"/>
      <c r="Q48" s="542" t="s">
        <v>1287</v>
      </c>
      <c r="R48" s="10">
        <f t="shared" si="4"/>
        <v>0</v>
      </c>
      <c r="S48" s="542">
        <v>30</v>
      </c>
      <c r="T48" s="542">
        <v>1</v>
      </c>
      <c r="U48" s="10">
        <f t="shared" si="5"/>
        <v>0</v>
      </c>
    </row>
    <row r="49" spans="1:24" s="529" customFormat="1" ht="21.75" customHeight="1" x14ac:dyDescent="0.25">
      <c r="A49" s="1" t="str">
        <f>IF(R49=0,"",COUNTIF(A$23:A48,"&gt;0")+1)</f>
        <v/>
      </c>
      <c r="B49" s="641"/>
      <c r="C49" s="643" t="s">
        <v>42</v>
      </c>
      <c r="D49" s="1084" t="s">
        <v>1503</v>
      </c>
      <c r="E49" s="1085"/>
      <c r="F49" s="1085"/>
      <c r="G49" s="1085"/>
      <c r="H49" s="1085"/>
      <c r="I49" s="1085"/>
      <c r="J49" s="1085"/>
      <c r="K49" s="1085"/>
      <c r="L49" s="1085"/>
      <c r="M49" s="1085"/>
      <c r="N49" s="1085"/>
      <c r="O49" s="1086"/>
      <c r="Q49" s="542" t="s">
        <v>1287</v>
      </c>
      <c r="R49" s="10">
        <f>B49</f>
        <v>0</v>
      </c>
      <c r="S49" s="542">
        <v>30</v>
      </c>
      <c r="T49" s="542">
        <v>1</v>
      </c>
      <c r="U49" s="10">
        <f>T49*B49</f>
        <v>0</v>
      </c>
    </row>
    <row r="50" spans="1:24" s="529" customFormat="1" ht="14.25" customHeight="1" x14ac:dyDescent="0.25">
      <c r="A50" s="1" t="str">
        <f>IF(R50=0,"",COUNTIF(A$23:A49,"&gt;0")+1)</f>
        <v/>
      </c>
      <c r="B50" s="641"/>
      <c r="C50" s="643" t="s">
        <v>42</v>
      </c>
      <c r="D50" s="1084" t="s">
        <v>1368</v>
      </c>
      <c r="E50" s="1085"/>
      <c r="F50" s="1085"/>
      <c r="G50" s="1085"/>
      <c r="H50" s="1085"/>
      <c r="I50" s="1085"/>
      <c r="J50" s="1085"/>
      <c r="K50" s="1085"/>
      <c r="L50" s="1085"/>
      <c r="M50" s="1085"/>
      <c r="N50" s="1085"/>
      <c r="O50" s="1086"/>
      <c r="Q50" s="542" t="s">
        <v>1287</v>
      </c>
      <c r="R50" s="10">
        <f>B50</f>
        <v>0</v>
      </c>
      <c r="S50" s="542">
        <v>30</v>
      </c>
      <c r="T50" s="542">
        <v>1</v>
      </c>
      <c r="U50" s="10">
        <f>T50*B50</f>
        <v>0</v>
      </c>
    </row>
    <row r="51" spans="1:24" s="652" customFormat="1" ht="14.25" customHeight="1" x14ac:dyDescent="0.25">
      <c r="A51" s="1" t="str">
        <f>IF(R51=0,"",COUNTIF(A$23:A50,"&gt;0")+1)</f>
        <v/>
      </c>
      <c r="B51" s="641"/>
      <c r="C51" s="643" t="s">
        <v>42</v>
      </c>
      <c r="D51" s="1005" t="s">
        <v>1489</v>
      </c>
      <c r="E51" s="1006"/>
      <c r="F51" s="1006"/>
      <c r="G51" s="1007"/>
      <c r="H51" s="1008"/>
      <c r="I51" s="1009"/>
      <c r="J51" s="1009"/>
      <c r="K51" s="1009"/>
      <c r="L51" s="1009"/>
      <c r="M51" s="1009"/>
      <c r="N51" s="1010"/>
      <c r="O51" s="1011"/>
      <c r="Q51" s="542" t="s">
        <v>1287</v>
      </c>
      <c r="R51" s="5">
        <f t="shared" si="4"/>
        <v>0</v>
      </c>
      <c r="S51" s="542">
        <v>30</v>
      </c>
      <c r="T51" s="542">
        <v>1</v>
      </c>
      <c r="U51" s="5">
        <f t="shared" si="5"/>
        <v>0</v>
      </c>
    </row>
    <row r="52" spans="1:24" s="529" customFormat="1" ht="14.25" customHeight="1" x14ac:dyDescent="0.25">
      <c r="A52" s="1" t="str">
        <f>IF(R52=0,"",COUNTIF(A$23:A51,"&gt;0")+1)</f>
        <v/>
      </c>
      <c r="B52" s="641"/>
      <c r="C52" s="643" t="s">
        <v>42</v>
      </c>
      <c r="D52" s="1005" t="s">
        <v>1484</v>
      </c>
      <c r="E52" s="1006"/>
      <c r="F52" s="1006"/>
      <c r="G52" s="1007"/>
      <c r="H52" s="1008"/>
      <c r="I52" s="1009"/>
      <c r="J52" s="1009"/>
      <c r="K52" s="1009"/>
      <c r="L52" s="1009"/>
      <c r="M52" s="1009"/>
      <c r="N52" s="1010"/>
      <c r="O52" s="1011"/>
      <c r="Q52" s="542" t="s">
        <v>1287</v>
      </c>
      <c r="R52" s="10">
        <f t="shared" si="4"/>
        <v>0</v>
      </c>
      <c r="S52" s="542">
        <v>30</v>
      </c>
      <c r="T52" s="542">
        <v>1</v>
      </c>
      <c r="U52" s="10">
        <f t="shared" si="5"/>
        <v>0</v>
      </c>
    </row>
    <row r="53" spans="1:24" s="529" customFormat="1" ht="14.25" customHeight="1" thickBot="1" x14ac:dyDescent="0.3">
      <c r="A53" s="1" t="str">
        <f>IF(R53=0,"",COUNTIF(A$23:A52,"&gt;0")+1)</f>
        <v/>
      </c>
      <c r="B53" s="801"/>
      <c r="C53" s="802" t="s">
        <v>42</v>
      </c>
      <c r="D53" s="1012" t="s">
        <v>1477</v>
      </c>
      <c r="E53" s="1013"/>
      <c r="F53" s="1013"/>
      <c r="G53" s="1014"/>
      <c r="H53" s="1015"/>
      <c r="I53" s="1016"/>
      <c r="J53" s="1016"/>
      <c r="K53" s="1016"/>
      <c r="L53" s="1016"/>
      <c r="M53" s="1016"/>
      <c r="N53" s="1017"/>
      <c r="O53" s="1018"/>
      <c r="Q53" s="542" t="s">
        <v>1287</v>
      </c>
      <c r="R53" s="10">
        <f t="shared" ref="R53" si="6">B53</f>
        <v>0</v>
      </c>
      <c r="S53" s="542">
        <v>30</v>
      </c>
      <c r="T53" s="542">
        <v>1</v>
      </c>
      <c r="U53" s="10">
        <f t="shared" ref="U53" si="7">T53*B53</f>
        <v>0</v>
      </c>
    </row>
    <row r="54" spans="1:24" s="529" customFormat="1" ht="12" customHeight="1" x14ac:dyDescent="0.25">
      <c r="A54" s="1" t="str">
        <f>IF(R54=0,"",COUNTIF(A$23:A53,"&gt;0")+1)</f>
        <v/>
      </c>
      <c r="B54" s="596">
        <f>SUM(B43:B53)</f>
        <v>0</v>
      </c>
      <c r="C54" s="597" t="s">
        <v>42</v>
      </c>
      <c r="D54" s="800" t="s">
        <v>1293</v>
      </c>
      <c r="E54" s="599"/>
      <c r="F54" s="599"/>
      <c r="G54" s="597"/>
      <c r="H54" s="598"/>
      <c r="I54" s="600"/>
      <c r="J54" s="596"/>
      <c r="K54" s="596"/>
      <c r="L54" s="596"/>
      <c r="M54" s="596"/>
      <c r="N54" s="601"/>
      <c r="O54" s="596"/>
      <c r="Q54" s="542" t="s">
        <v>1287</v>
      </c>
      <c r="R54" s="10">
        <f>B54</f>
        <v>0</v>
      </c>
    </row>
    <row r="55" spans="1:24" s="529" customFormat="1" ht="9.75" customHeight="1" thickBot="1" x14ac:dyDescent="0.3">
      <c r="A55" s="1" t="str">
        <f>IF(R55=0,"",COUNTIF(A$23:A54,"&gt;0")+1)</f>
        <v/>
      </c>
      <c r="B55" s="596"/>
      <c r="C55" s="597"/>
      <c r="D55" s="598"/>
      <c r="E55" s="599"/>
      <c r="F55" s="599"/>
      <c r="G55" s="597"/>
      <c r="H55" s="598"/>
      <c r="I55" s="600"/>
      <c r="J55" s="596"/>
      <c r="K55" s="596"/>
      <c r="L55" s="596"/>
      <c r="M55" s="596"/>
      <c r="N55" s="601"/>
      <c r="O55" s="596"/>
      <c r="Q55" s="542"/>
      <c r="R55" s="10"/>
    </row>
    <row r="56" spans="1:24" ht="9" hidden="1" customHeight="1" x14ac:dyDescent="0.25">
      <c r="A56" s="1" t="str">
        <f>IF(R56=0,"",COUNTIF(A$23:A55,"&gt;0")+1)</f>
        <v/>
      </c>
      <c r="B56" s="1091" t="s">
        <v>41</v>
      </c>
      <c r="C56" s="1092"/>
      <c r="D56" s="1154" t="s">
        <v>1343</v>
      </c>
      <c r="E56" s="1155"/>
      <c r="F56" s="1155"/>
      <c r="G56" s="1155"/>
      <c r="H56" s="1155"/>
      <c r="I56" s="115" t="s">
        <v>507</v>
      </c>
      <c r="J56" s="115"/>
      <c r="K56" s="115"/>
      <c r="L56" s="115"/>
      <c r="M56" s="115"/>
      <c r="N56" s="115"/>
      <c r="O56" s="116"/>
      <c r="P56" s="117"/>
      <c r="Q56" s="10"/>
      <c r="R56" s="10"/>
      <c r="S56" s="10"/>
      <c r="T56" s="10"/>
      <c r="U56" s="10"/>
      <c r="X56" s="10"/>
    </row>
    <row r="57" spans="1:24" ht="9.75" hidden="1" customHeight="1" thickBot="1" x14ac:dyDescent="0.3">
      <c r="A57" s="1" t="str">
        <f>IF(R57=0,"",COUNTIF(A$23:A56,"&gt;0")+1)</f>
        <v/>
      </c>
      <c r="B57" s="1093"/>
      <c r="C57" s="1094"/>
      <c r="D57" s="1156"/>
      <c r="E57" s="1157"/>
      <c r="F57" s="1157"/>
      <c r="G57" s="1157"/>
      <c r="H57" s="1157"/>
      <c r="I57" s="118" t="s">
        <v>47</v>
      </c>
      <c r="J57" s="119"/>
      <c r="K57" s="119"/>
      <c r="L57" s="119"/>
      <c r="M57" s="118"/>
      <c r="N57" s="119"/>
      <c r="O57" s="120" t="s">
        <v>48</v>
      </c>
      <c r="P57" s="117"/>
      <c r="Q57" s="10"/>
      <c r="R57" s="10"/>
      <c r="S57" s="10"/>
      <c r="T57" s="10"/>
      <c r="U57" s="10"/>
      <c r="X57" s="10"/>
    </row>
    <row r="58" spans="1:24" ht="12" hidden="1" customHeight="1" x14ac:dyDescent="0.25">
      <c r="A58" s="1" t="str">
        <f>IF(R58=0,"",COUNTIF(A$23:A57,"&gt;0")+1)</f>
        <v/>
      </c>
      <c r="B58" s="121"/>
      <c r="C58" s="122" t="s">
        <v>508</v>
      </c>
      <c r="D58" s="123" t="s">
        <v>509</v>
      </c>
      <c r="E58" s="124"/>
      <c r="F58" s="124"/>
      <c r="G58" s="125" t="s">
        <v>510</v>
      </c>
      <c r="H58" s="126" t="s">
        <v>511</v>
      </c>
      <c r="I58" s="127">
        <f>VLOOKUP(D58,A!A$1:H$767,8,FALSE)</f>
        <v>1</v>
      </c>
      <c r="J58" s="127" t="s">
        <v>63</v>
      </c>
      <c r="K58" s="128">
        <f>IF(VLOOKUP(D58,A!A$1:H$767,4,FALSE)="y",1,0)</f>
        <v>0</v>
      </c>
      <c r="L58" s="128">
        <f>IF(VLOOKUP(D58,A!A$1:H$767,5,FALSE)="y",1,0)</f>
        <v>0</v>
      </c>
      <c r="M58" s="129" t="str">
        <f>IF(VLOOKUP(D58,A!A$1:H$767,3,FALSE)="y","NEW","")</f>
        <v/>
      </c>
      <c r="N58" s="127">
        <f>VLOOKUP(D58,A!A$1:H$767,6,FALSE)</f>
        <v>0</v>
      </c>
      <c r="O58" s="130" t="s">
        <v>512</v>
      </c>
      <c r="P58" s="10">
        <f>VLOOKUP(D58,A!A$1:G$767,2,FALSE)</f>
        <v>0</v>
      </c>
      <c r="Q58" s="10" t="s">
        <v>513</v>
      </c>
      <c r="R58" s="10">
        <f t="shared" ref="R58:R72" si="8">B58</f>
        <v>0</v>
      </c>
      <c r="S58" s="10"/>
      <c r="T58" s="10"/>
      <c r="U58" s="10"/>
      <c r="X58" s="10"/>
    </row>
    <row r="59" spans="1:24" ht="11.25" hidden="1" customHeight="1" x14ac:dyDescent="0.25">
      <c r="A59" s="1" t="str">
        <f>IF(R59=0,"",COUNTIF(A$23:A58,"&gt;0")+1)</f>
        <v/>
      </c>
      <c r="B59" s="131"/>
      <c r="C59" s="63" t="s">
        <v>508</v>
      </c>
      <c r="D59" s="64" t="s">
        <v>514</v>
      </c>
      <c r="E59" s="65"/>
      <c r="F59" s="65"/>
      <c r="G59" s="96" t="s">
        <v>515</v>
      </c>
      <c r="H59" s="66" t="s">
        <v>516</v>
      </c>
      <c r="I59" s="67">
        <f>VLOOKUP(D59,A!A$1:H$767,8,FALSE)</f>
        <v>1</v>
      </c>
      <c r="J59" s="67"/>
      <c r="K59" s="68">
        <f>IF(VLOOKUP(D59,A!A$1:H$767,4,FALSE)="y",1,0)</f>
        <v>0</v>
      </c>
      <c r="L59" s="68">
        <f>IF(VLOOKUP(D59,A!A$1:H$767,5,FALSE)="y",1,0)</f>
        <v>0</v>
      </c>
      <c r="M59" s="92" t="str">
        <f>IF(VLOOKUP(D59,A!A$1:H$767,3,FALSE)="y","NEW","")</f>
        <v/>
      </c>
      <c r="N59" s="67">
        <f>VLOOKUP(D59,A!A$1:H$767,6,FALSE)</f>
        <v>0</v>
      </c>
      <c r="O59" s="132" t="s">
        <v>512</v>
      </c>
      <c r="P59" s="10">
        <f>VLOOKUP(D59,A!A$1:G$767,2,FALSE)</f>
        <v>0</v>
      </c>
      <c r="Q59" s="10" t="s">
        <v>513</v>
      </c>
      <c r="R59" s="10">
        <f t="shared" si="8"/>
        <v>0</v>
      </c>
      <c r="S59" s="10"/>
      <c r="T59" s="10"/>
      <c r="U59" s="10"/>
      <c r="X59" s="10"/>
    </row>
    <row r="60" spans="1:24" ht="11.25" hidden="1" customHeight="1" x14ac:dyDescent="0.25">
      <c r="A60" s="1" t="str">
        <f>IF(R60=0,"",COUNTIF(A$23:A59,"&gt;0")+1)</f>
        <v/>
      </c>
      <c r="B60" s="131"/>
      <c r="C60" s="63" t="s">
        <v>508</v>
      </c>
      <c r="D60" s="64" t="s">
        <v>517</v>
      </c>
      <c r="E60" s="65"/>
      <c r="F60" s="65"/>
      <c r="G60" s="96" t="s">
        <v>518</v>
      </c>
      <c r="H60" s="66" t="s">
        <v>516</v>
      </c>
      <c r="I60" s="67">
        <f>VLOOKUP(D60,A!A$1:H$767,8,FALSE)</f>
        <v>1</v>
      </c>
      <c r="J60" s="67" t="s">
        <v>63</v>
      </c>
      <c r="K60" s="68">
        <f>IF(VLOOKUP(D60,A!A$1:H$767,4,FALSE)="y",1,0)</f>
        <v>0</v>
      </c>
      <c r="L60" s="68">
        <f>IF(VLOOKUP(D60,A!A$1:H$767,5,FALSE)="y",1,0)</f>
        <v>0</v>
      </c>
      <c r="M60" s="92" t="str">
        <f>IF(VLOOKUP(D60,A!A$1:H$767,3,FALSE)="y","NEW","")</f>
        <v/>
      </c>
      <c r="N60" s="67">
        <f>VLOOKUP(D60,A!A$1:H$767,6,FALSE)</f>
        <v>0</v>
      </c>
      <c r="O60" s="132" t="s">
        <v>512</v>
      </c>
      <c r="P60" s="10">
        <f>VLOOKUP(D60,A!A$1:G$767,2,FALSE)</f>
        <v>0</v>
      </c>
      <c r="Q60" s="10" t="s">
        <v>513</v>
      </c>
      <c r="R60" s="10">
        <f t="shared" si="8"/>
        <v>0</v>
      </c>
      <c r="S60" s="10"/>
      <c r="T60" s="10"/>
      <c r="U60" s="10"/>
      <c r="X60" s="10"/>
    </row>
    <row r="61" spans="1:24" ht="11.25" hidden="1" customHeight="1" x14ac:dyDescent="0.25">
      <c r="A61" s="1" t="str">
        <f>IF(R61=0,"",COUNTIF(A$23:A60,"&gt;0")+1)</f>
        <v/>
      </c>
      <c r="B61" s="131"/>
      <c r="C61" s="63" t="s">
        <v>508</v>
      </c>
      <c r="D61" s="64" t="s">
        <v>519</v>
      </c>
      <c r="E61" s="65"/>
      <c r="F61" s="65"/>
      <c r="G61" s="96" t="s">
        <v>520</v>
      </c>
      <c r="H61" s="66" t="s">
        <v>521</v>
      </c>
      <c r="I61" s="67">
        <f>VLOOKUP(D61,A!A$1:H$767,8,FALSE)</f>
        <v>1</v>
      </c>
      <c r="J61" s="67" t="s">
        <v>63</v>
      </c>
      <c r="K61" s="68">
        <f>IF(VLOOKUP(D61,A!A$1:H$767,4,FALSE)="y",1,0)</f>
        <v>0</v>
      </c>
      <c r="L61" s="68">
        <f>IF(VLOOKUP(D61,A!A$1:H$767,5,FALSE)="y",1,0)</f>
        <v>0</v>
      </c>
      <c r="M61" s="92" t="str">
        <f>IF(VLOOKUP(D61,A!A$1:H$767,3,FALSE)="y","NEW","")</f>
        <v/>
      </c>
      <c r="N61" s="67">
        <f>VLOOKUP(D61,A!A$1:H$767,6,FALSE)</f>
        <v>0</v>
      </c>
      <c r="O61" s="132" t="s">
        <v>512</v>
      </c>
      <c r="P61" s="10">
        <f>VLOOKUP(D61,A!A$1:G$767,2,FALSE)</f>
        <v>0</v>
      </c>
      <c r="Q61" s="10" t="s">
        <v>513</v>
      </c>
      <c r="R61" s="10">
        <f t="shared" si="8"/>
        <v>0</v>
      </c>
      <c r="S61" s="10"/>
      <c r="T61" s="10"/>
      <c r="U61" s="10"/>
      <c r="X61" s="10"/>
    </row>
    <row r="62" spans="1:24" ht="11.25" hidden="1" customHeight="1" x14ac:dyDescent="0.25">
      <c r="A62" s="1" t="str">
        <f>IF(R62=0,"",COUNTIF(A$23:A61,"&gt;0")+1)</f>
        <v/>
      </c>
      <c r="B62" s="131"/>
      <c r="C62" s="63" t="s">
        <v>508</v>
      </c>
      <c r="D62" s="64" t="s">
        <v>522</v>
      </c>
      <c r="E62" s="65"/>
      <c r="F62" s="65"/>
      <c r="G62" s="96" t="s">
        <v>523</v>
      </c>
      <c r="H62" s="66" t="s">
        <v>516</v>
      </c>
      <c r="I62" s="67">
        <f>VLOOKUP(D62,A!A$1:H$767,8,FALSE)</f>
        <v>1</v>
      </c>
      <c r="J62" s="67" t="s">
        <v>63</v>
      </c>
      <c r="K62" s="68">
        <f>IF(VLOOKUP(D62,A!A$1:H$767,4,FALSE)="y",1,0)</f>
        <v>0</v>
      </c>
      <c r="L62" s="68">
        <f>IF(VLOOKUP(D62,A!A$1:H$767,5,FALSE)="y",1,0)</f>
        <v>0</v>
      </c>
      <c r="M62" s="92" t="str">
        <f>IF(VLOOKUP(D62,A!A$1:H$767,3,FALSE)="y","NEW","")</f>
        <v/>
      </c>
      <c r="N62" s="67">
        <f>VLOOKUP(D62,A!A$1:H$767,6,FALSE)</f>
        <v>0</v>
      </c>
      <c r="O62" s="132" t="s">
        <v>512</v>
      </c>
      <c r="P62" s="10">
        <f>VLOOKUP(D62,A!A$1:G$767,2,FALSE)</f>
        <v>0</v>
      </c>
      <c r="Q62" s="10" t="s">
        <v>513</v>
      </c>
      <c r="R62" s="10">
        <f t="shared" si="8"/>
        <v>0</v>
      </c>
      <c r="S62" s="10"/>
      <c r="T62" s="10"/>
      <c r="U62" s="10"/>
      <c r="X62" s="10"/>
    </row>
    <row r="63" spans="1:24" ht="11.25" hidden="1" customHeight="1" x14ac:dyDescent="0.25">
      <c r="A63" s="1" t="str">
        <f>IF(R63=0,"",COUNTIF(A$23:A62,"&gt;0")+1)</f>
        <v/>
      </c>
      <c r="B63" s="131"/>
      <c r="C63" s="63" t="s">
        <v>508</v>
      </c>
      <c r="D63" s="64" t="s">
        <v>524</v>
      </c>
      <c r="E63" s="65"/>
      <c r="F63" s="65"/>
      <c r="G63" s="96" t="s">
        <v>525</v>
      </c>
      <c r="H63" s="66" t="s">
        <v>516</v>
      </c>
      <c r="I63" s="67">
        <f>VLOOKUP(D63,A!A$1:H$767,8,FALSE)</f>
        <v>1</v>
      </c>
      <c r="J63" s="67" t="s">
        <v>63</v>
      </c>
      <c r="K63" s="68">
        <f>IF(VLOOKUP(D63,A!A$1:H$767,4,FALSE)="y",1,0)</f>
        <v>0</v>
      </c>
      <c r="L63" s="68">
        <f>IF(VLOOKUP(D63,A!A$1:H$767,5,FALSE)="y",1,0)</f>
        <v>0</v>
      </c>
      <c r="M63" s="92" t="str">
        <f>IF(VLOOKUP(D63,A!A$1:H$767,3,FALSE)="y","NEW","")</f>
        <v/>
      </c>
      <c r="N63" s="67">
        <f>VLOOKUP(D63,A!A$1:H$767,6,FALSE)</f>
        <v>0</v>
      </c>
      <c r="O63" s="132" t="s">
        <v>512</v>
      </c>
      <c r="P63" s="10">
        <f>VLOOKUP(D63,A!A$1:G$767,2,FALSE)</f>
        <v>0</v>
      </c>
      <c r="Q63" s="10" t="s">
        <v>513</v>
      </c>
      <c r="R63" s="10">
        <f t="shared" si="8"/>
        <v>0</v>
      </c>
      <c r="S63" s="10"/>
      <c r="T63" s="10"/>
      <c r="U63" s="10"/>
      <c r="X63" s="10"/>
    </row>
    <row r="64" spans="1:24" ht="11.25" hidden="1" customHeight="1" x14ac:dyDescent="0.25">
      <c r="A64" s="1" t="str">
        <f>IF(R64=0,"",COUNTIF(A$23:A63,"&gt;0")+1)</f>
        <v/>
      </c>
      <c r="B64" s="131"/>
      <c r="C64" s="63" t="s">
        <v>508</v>
      </c>
      <c r="D64" s="64" t="s">
        <v>526</v>
      </c>
      <c r="E64" s="65"/>
      <c r="F64" s="65"/>
      <c r="G64" s="96" t="s">
        <v>527</v>
      </c>
      <c r="H64" s="66" t="s">
        <v>516</v>
      </c>
      <c r="I64" s="67">
        <f>VLOOKUP(D64,A!A$1:H$767,8,FALSE)</f>
        <v>1</v>
      </c>
      <c r="J64" s="67" t="s">
        <v>63</v>
      </c>
      <c r="K64" s="68">
        <f>IF(VLOOKUP(D64,A!A$1:H$767,4,FALSE)="y",1,0)</f>
        <v>0</v>
      </c>
      <c r="L64" s="68">
        <f>IF(VLOOKUP(D64,A!A$1:H$767,5,FALSE)="y",1,0)</f>
        <v>0</v>
      </c>
      <c r="M64" s="92" t="str">
        <f>IF(VLOOKUP(D64,A!A$1:H$767,3,FALSE)="y","NEW","")</f>
        <v/>
      </c>
      <c r="N64" s="67">
        <f>VLOOKUP(D64,A!A$1:H$767,6,FALSE)</f>
        <v>0</v>
      </c>
      <c r="O64" s="132" t="s">
        <v>512</v>
      </c>
      <c r="P64" s="10">
        <f>VLOOKUP(D64,A!A$1:G$767,2,FALSE)</f>
        <v>0</v>
      </c>
      <c r="Q64" s="10" t="s">
        <v>513</v>
      </c>
      <c r="R64" s="10">
        <f t="shared" si="8"/>
        <v>0</v>
      </c>
      <c r="S64" s="10"/>
      <c r="T64" s="10"/>
      <c r="U64" s="10"/>
      <c r="X64" s="10"/>
    </row>
    <row r="65" spans="1:66" ht="12.6" hidden="1" customHeight="1" x14ac:dyDescent="0.25">
      <c r="A65" s="1" t="str">
        <f>IF(R65=0,"",COUNTIF(A$23:A64,"&gt;0")+1)</f>
        <v/>
      </c>
      <c r="B65" s="133"/>
      <c r="C65" s="63" t="s">
        <v>528</v>
      </c>
      <c r="D65" s="64" t="s">
        <v>529</v>
      </c>
      <c r="E65" s="65"/>
      <c r="F65" s="65"/>
      <c r="G65" s="96" t="s">
        <v>510</v>
      </c>
      <c r="H65" s="66" t="s">
        <v>530</v>
      </c>
      <c r="I65" s="67">
        <f>VLOOKUP(D65,A!A$1:H$767,8,FALSE)</f>
        <v>1</v>
      </c>
      <c r="J65" s="67" t="s">
        <v>63</v>
      </c>
      <c r="K65" s="134">
        <f>IF(VLOOKUP(D65,A!A$1:H$767,4,FALSE)="y",1,0)</f>
        <v>0</v>
      </c>
      <c r="L65" s="134">
        <f>IF(VLOOKUP(D65,A!A$1:H$767,5,FALSE)="y",1,0)</f>
        <v>0</v>
      </c>
      <c r="M65" s="92" t="str">
        <f>IF(VLOOKUP(D65,A!A$1:H$767,3,FALSE)="y","NEW","")</f>
        <v/>
      </c>
      <c r="N65" s="67">
        <f>VLOOKUP(D65,A!A$1:H$767,6,FALSE)</f>
        <v>0</v>
      </c>
      <c r="O65" s="132" t="s">
        <v>512</v>
      </c>
      <c r="P65" s="10">
        <f>VLOOKUP(D65,A!A$1:G$767,2,FALSE)</f>
        <v>0</v>
      </c>
      <c r="Q65" s="10" t="s">
        <v>513</v>
      </c>
      <c r="R65" s="10">
        <f t="shared" si="8"/>
        <v>0</v>
      </c>
      <c r="S65" s="10"/>
      <c r="T65" s="10"/>
      <c r="U65" s="10"/>
      <c r="X65" s="10"/>
    </row>
    <row r="66" spans="1:66" ht="12" hidden="1" customHeight="1" x14ac:dyDescent="0.25">
      <c r="A66" s="1" t="str">
        <f>IF(R66=0,"",COUNTIF(A$23:A65,"&gt;0")+1)</f>
        <v/>
      </c>
      <c r="B66" s="133"/>
      <c r="C66" s="63" t="s">
        <v>528</v>
      </c>
      <c r="D66" s="64" t="s">
        <v>531</v>
      </c>
      <c r="E66" s="65"/>
      <c r="F66" s="65"/>
      <c r="G66" s="96" t="s">
        <v>515</v>
      </c>
      <c r="H66" s="66" t="s">
        <v>530</v>
      </c>
      <c r="I66" s="67">
        <f>VLOOKUP(D66,A!A$1:H$767,8,FALSE)</f>
        <v>1</v>
      </c>
      <c r="J66" s="67"/>
      <c r="K66" s="68">
        <f>IF(VLOOKUP(D66,A!A$1:H$767,4,FALSE)="y",1,0)</f>
        <v>0</v>
      </c>
      <c r="L66" s="68">
        <f>IF(VLOOKUP(D66,A!A$1:H$767,5,FALSE)="y",1,0)</f>
        <v>0</v>
      </c>
      <c r="M66" s="92" t="str">
        <f>IF(VLOOKUP(D66,A!A$1:H$767,3,FALSE)="y","NEW","")</f>
        <v/>
      </c>
      <c r="N66" s="67">
        <f>VLOOKUP(D66,A!A$1:H$767,6,FALSE)</f>
        <v>0</v>
      </c>
      <c r="O66" s="132" t="s">
        <v>512</v>
      </c>
      <c r="P66" s="10">
        <f>VLOOKUP(D66,A!A$1:G$767,2,FALSE)</f>
        <v>0</v>
      </c>
      <c r="Q66" s="10" t="s">
        <v>513</v>
      </c>
      <c r="R66" s="10">
        <f t="shared" si="8"/>
        <v>0</v>
      </c>
      <c r="S66" s="10"/>
      <c r="T66" s="10"/>
      <c r="U66" s="10"/>
      <c r="X66" s="10"/>
    </row>
    <row r="67" spans="1:66" ht="12" hidden="1" customHeight="1" x14ac:dyDescent="0.25">
      <c r="A67" s="1" t="str">
        <f>IF(R67=0,"",COUNTIF(A$23:A66,"&gt;0")+1)</f>
        <v/>
      </c>
      <c r="B67" s="133"/>
      <c r="C67" s="63" t="s">
        <v>528</v>
      </c>
      <c r="D67" s="64" t="s">
        <v>532</v>
      </c>
      <c r="E67" s="65"/>
      <c r="F67" s="65"/>
      <c r="G67" s="96" t="s">
        <v>518</v>
      </c>
      <c r="H67" s="66" t="s">
        <v>530</v>
      </c>
      <c r="I67" s="67">
        <f>VLOOKUP(D67,A!A$1:H$767,8,FALSE)</f>
        <v>1</v>
      </c>
      <c r="J67" s="67"/>
      <c r="K67" s="68">
        <f>IF(VLOOKUP(D67,A!A$1:H$767,4,FALSE)="y",1,0)</f>
        <v>0</v>
      </c>
      <c r="L67" s="68">
        <f>IF(VLOOKUP(D67,A!A$1:H$767,5,FALSE)="y",1,0)</f>
        <v>0</v>
      </c>
      <c r="M67" s="92" t="str">
        <f>IF(VLOOKUP(D67,A!A$1:H$767,3,FALSE)="y","NEW","")</f>
        <v/>
      </c>
      <c r="N67" s="67">
        <f>VLOOKUP(D67,A!A$1:H$767,6,FALSE)</f>
        <v>0</v>
      </c>
      <c r="O67" s="132" t="s">
        <v>512</v>
      </c>
      <c r="P67" s="10">
        <f>VLOOKUP(D67,A!A$1:G$767,2,FALSE)</f>
        <v>0</v>
      </c>
      <c r="Q67" s="10" t="s">
        <v>513</v>
      </c>
      <c r="R67" s="10">
        <f t="shared" si="8"/>
        <v>0</v>
      </c>
      <c r="S67" s="10"/>
      <c r="T67" s="10"/>
      <c r="U67" s="10"/>
      <c r="X67" s="10"/>
    </row>
    <row r="68" spans="1:66" ht="12" hidden="1" customHeight="1" x14ac:dyDescent="0.25">
      <c r="A68" s="1" t="str">
        <f>IF(R68=0,"",COUNTIF(A$23:A67,"&gt;0")+1)</f>
        <v/>
      </c>
      <c r="B68" s="133"/>
      <c r="C68" s="63" t="s">
        <v>528</v>
      </c>
      <c r="D68" s="64" t="s">
        <v>533</v>
      </c>
      <c r="E68" s="65"/>
      <c r="F68" s="65"/>
      <c r="G68" s="96" t="s">
        <v>520</v>
      </c>
      <c r="H68" s="66" t="s">
        <v>534</v>
      </c>
      <c r="I68" s="67">
        <f>VLOOKUP(D68,A!A$1:H$767,8,FALSE)</f>
        <v>1</v>
      </c>
      <c r="J68" s="67" t="s">
        <v>63</v>
      </c>
      <c r="K68" s="68">
        <f>IF(VLOOKUP(D68,A!A$1:H$767,4,FALSE)="y",1,0)</f>
        <v>0</v>
      </c>
      <c r="L68" s="68">
        <f>IF(VLOOKUP(D68,A!A$1:H$767,5,FALSE)="y",1,0)</f>
        <v>0</v>
      </c>
      <c r="M68" s="92" t="str">
        <f>IF(VLOOKUP(D68,A!A$1:H$767,3,FALSE)="y","NEW","")</f>
        <v/>
      </c>
      <c r="N68" s="67">
        <f>VLOOKUP(D68,A!A$1:H$767,6,FALSE)</f>
        <v>0</v>
      </c>
      <c r="O68" s="132" t="s">
        <v>512</v>
      </c>
      <c r="P68" s="10">
        <f>VLOOKUP(D68,A!A$1:G$767,2,FALSE)</f>
        <v>0</v>
      </c>
      <c r="Q68" s="10" t="s">
        <v>513</v>
      </c>
      <c r="R68" s="10">
        <f t="shared" si="8"/>
        <v>0</v>
      </c>
      <c r="S68" s="10"/>
      <c r="T68" s="10"/>
      <c r="U68" s="10"/>
      <c r="X68" s="10"/>
    </row>
    <row r="69" spans="1:66" ht="12" hidden="1" customHeight="1" x14ac:dyDescent="0.25">
      <c r="A69" s="1" t="str">
        <f>IF(R69=0,"",COUNTIF(A$23:A68,"&gt;0")+1)</f>
        <v/>
      </c>
      <c r="B69" s="133"/>
      <c r="C69" s="63" t="s">
        <v>528</v>
      </c>
      <c r="D69" s="64" t="s">
        <v>535</v>
      </c>
      <c r="E69" s="65"/>
      <c r="F69" s="65"/>
      <c r="G69" s="96" t="s">
        <v>523</v>
      </c>
      <c r="H69" s="66" t="s">
        <v>530</v>
      </c>
      <c r="I69" s="67">
        <f>VLOOKUP(D69,A!A$1:H$767,8,FALSE)</f>
        <v>1</v>
      </c>
      <c r="J69" s="67"/>
      <c r="K69" s="68">
        <f>IF(VLOOKUP(D69,A!A$1:H$767,4,FALSE)="y",1,0)</f>
        <v>0</v>
      </c>
      <c r="L69" s="68">
        <f>IF(VLOOKUP(D69,A!A$1:H$767,5,FALSE)="y",1,0)</f>
        <v>0</v>
      </c>
      <c r="M69" s="92" t="str">
        <f>IF(VLOOKUP(D69,A!A$1:H$767,3,FALSE)="y","NEW","")</f>
        <v/>
      </c>
      <c r="N69" s="67">
        <f>VLOOKUP(D69,A!A$1:H$767,6,FALSE)</f>
        <v>0</v>
      </c>
      <c r="O69" s="132" t="s">
        <v>512</v>
      </c>
      <c r="P69" s="10">
        <f>VLOOKUP(D69,A!A$1:G$767,2,FALSE)</f>
        <v>0</v>
      </c>
      <c r="Q69" s="10" t="s">
        <v>513</v>
      </c>
      <c r="R69" s="10">
        <f t="shared" si="8"/>
        <v>0</v>
      </c>
      <c r="S69" s="10"/>
      <c r="T69" s="10"/>
      <c r="U69" s="10"/>
      <c r="X69" s="10"/>
    </row>
    <row r="70" spans="1:66" ht="12" hidden="1" customHeight="1" x14ac:dyDescent="0.25">
      <c r="A70" s="1" t="str">
        <f>IF(R70=0,"",COUNTIF(A$23:A69,"&gt;0")+1)</f>
        <v/>
      </c>
      <c r="B70" s="133"/>
      <c r="C70" s="63" t="s">
        <v>528</v>
      </c>
      <c r="D70" s="64" t="s">
        <v>536</v>
      </c>
      <c r="E70" s="65"/>
      <c r="F70" s="65"/>
      <c r="G70" s="96" t="s">
        <v>525</v>
      </c>
      <c r="H70" s="66" t="s">
        <v>530</v>
      </c>
      <c r="I70" s="67">
        <f>VLOOKUP(D70,A!A$1:H$767,8,FALSE)</f>
        <v>1</v>
      </c>
      <c r="J70" s="67" t="s">
        <v>63</v>
      </c>
      <c r="K70" s="68">
        <f>IF(VLOOKUP(D70,A!A$1:H$767,4,FALSE)="y",1,0)</f>
        <v>0</v>
      </c>
      <c r="L70" s="68">
        <f>IF(VLOOKUP(D70,A!A$1:H$767,5,FALSE)="y",1,0)</f>
        <v>0</v>
      </c>
      <c r="M70" s="92" t="str">
        <f>IF(VLOOKUP(D70,A!A$1:H$767,3,FALSE)="y","NEW","")</f>
        <v/>
      </c>
      <c r="N70" s="67">
        <f>VLOOKUP(D70,A!A$1:H$767,6,FALSE)</f>
        <v>0</v>
      </c>
      <c r="O70" s="132" t="s">
        <v>512</v>
      </c>
      <c r="P70" s="10">
        <f>VLOOKUP(D70,A!A$1:G$767,2,FALSE)</f>
        <v>0</v>
      </c>
      <c r="Q70" s="10" t="s">
        <v>513</v>
      </c>
      <c r="R70" s="10">
        <f t="shared" si="8"/>
        <v>0</v>
      </c>
      <c r="S70" s="10"/>
      <c r="T70" s="10"/>
      <c r="U70" s="10"/>
      <c r="X70" s="10"/>
    </row>
    <row r="71" spans="1:66" ht="11.25" hidden="1" customHeight="1" thickBot="1" x14ac:dyDescent="0.3">
      <c r="A71" s="1" t="str">
        <f>IF(R71=0,"",COUNTIF(A$23:A70,"&gt;0")+1)</f>
        <v/>
      </c>
      <c r="B71" s="135"/>
      <c r="C71" s="136" t="s">
        <v>528</v>
      </c>
      <c r="D71" s="137" t="s">
        <v>537</v>
      </c>
      <c r="E71" s="138"/>
      <c r="F71" s="138"/>
      <c r="G71" s="139" t="s">
        <v>527</v>
      </c>
      <c r="H71" s="140" t="s">
        <v>530</v>
      </c>
      <c r="I71" s="141">
        <f>VLOOKUP(D71,A!A$1:H$767,8,FALSE)</f>
        <v>1</v>
      </c>
      <c r="J71" s="141" t="s">
        <v>63</v>
      </c>
      <c r="K71" s="142">
        <f>IF(VLOOKUP(D71,A!A$1:H$767,4,FALSE)="y",1,0)</f>
        <v>0</v>
      </c>
      <c r="L71" s="142">
        <f>IF(VLOOKUP(D71,A!A$1:H$767,5,FALSE)="y",1,0)</f>
        <v>0</v>
      </c>
      <c r="M71" s="143" t="str">
        <f>IF(VLOOKUP(D71,A!A$1:H$767,3,FALSE)="y","NEW","")</f>
        <v/>
      </c>
      <c r="N71" s="141">
        <f>VLOOKUP(D71,A!A$1:H$767,6,FALSE)</f>
        <v>0</v>
      </c>
      <c r="O71" s="144" t="s">
        <v>512</v>
      </c>
      <c r="P71" s="10">
        <f>VLOOKUP(D71,A!A$1:G$767,2,FALSE)</f>
        <v>0</v>
      </c>
      <c r="Q71" s="10" t="s">
        <v>513</v>
      </c>
      <c r="R71" s="10">
        <f t="shared" si="8"/>
        <v>0</v>
      </c>
      <c r="S71" s="10"/>
      <c r="T71" s="10"/>
      <c r="U71" s="10"/>
      <c r="X71" s="10"/>
    </row>
    <row r="72" spans="1:66" ht="11.25" hidden="1" customHeight="1" thickBot="1" x14ac:dyDescent="0.3">
      <c r="A72" s="1" t="str">
        <f>IF(R72=0,"",COUNTIF(A$23:A71,"&gt;0")+1)</f>
        <v/>
      </c>
      <c r="B72" s="145">
        <f>SUM(B58:B64)*100+SUM(B65:B71)*50</f>
        <v>0</v>
      </c>
      <c r="C72" s="146" t="s">
        <v>42</v>
      </c>
      <c r="D72" s="147" t="s">
        <v>538</v>
      </c>
      <c r="E72" s="147"/>
      <c r="F72" s="147"/>
      <c r="G72" s="147"/>
      <c r="H72" s="147"/>
      <c r="I72" s="147"/>
      <c r="J72" s="147"/>
      <c r="K72" s="147"/>
      <c r="L72" s="147"/>
      <c r="M72" s="147"/>
      <c r="N72" s="147"/>
      <c r="O72" s="147"/>
      <c r="P72" s="10"/>
      <c r="Q72" s="10" t="s">
        <v>513</v>
      </c>
      <c r="R72" s="10">
        <f t="shared" si="8"/>
        <v>0</v>
      </c>
      <c r="S72" s="10"/>
      <c r="T72" s="10"/>
      <c r="U72" s="10"/>
      <c r="X72" s="10"/>
    </row>
    <row r="73" spans="1:66" ht="12" customHeight="1" thickBot="1" x14ac:dyDescent="0.3">
      <c r="A73" s="1" t="str">
        <f>IF(R73=0,"",COUNTIF(A$23:A72,"&gt;0")+1)</f>
        <v/>
      </c>
      <c r="B73" s="1191" t="s">
        <v>41</v>
      </c>
      <c r="C73" s="1191"/>
      <c r="D73" s="1110" t="s">
        <v>43</v>
      </c>
      <c r="E73" s="1110"/>
      <c r="F73" s="1110"/>
      <c r="G73" s="1110"/>
      <c r="H73" s="1136" t="s">
        <v>44</v>
      </c>
      <c r="I73" s="69" t="s">
        <v>45</v>
      </c>
      <c r="J73" s="69"/>
      <c r="K73" s="69"/>
      <c r="L73" s="69"/>
      <c r="M73" s="69"/>
      <c r="N73" s="69"/>
      <c r="O73" s="70"/>
      <c r="P73" s="10"/>
      <c r="Q73" s="10"/>
      <c r="R73" s="10"/>
      <c r="S73" s="10"/>
      <c r="T73" s="10"/>
      <c r="U73" s="10"/>
      <c r="V73" s="10"/>
      <c r="W73" s="10"/>
      <c r="X73" s="10"/>
      <c r="BM73" s="1"/>
      <c r="BN73" s="1"/>
    </row>
    <row r="74" spans="1:66" ht="12" customHeight="1" thickBot="1" x14ac:dyDescent="0.3">
      <c r="A74" s="1" t="str">
        <f>IF(R74=0,"",COUNTIF(A$23:A73,"&gt;0")+1)</f>
        <v/>
      </c>
      <c r="B74" s="1202" t="s">
        <v>46</v>
      </c>
      <c r="C74" s="1202"/>
      <c r="D74" s="1110"/>
      <c r="E74" s="1110"/>
      <c r="F74" s="1110"/>
      <c r="G74" s="1110"/>
      <c r="H74" s="1136"/>
      <c r="I74" s="71" t="s">
        <v>47</v>
      </c>
      <c r="J74" s="72"/>
      <c r="K74" s="72"/>
      <c r="L74" s="72"/>
      <c r="M74" s="73"/>
      <c r="N74" s="72"/>
      <c r="O74" s="74" t="s">
        <v>48</v>
      </c>
      <c r="P74" s="75" t="s">
        <v>49</v>
      </c>
      <c r="Q74" s="10" t="s">
        <v>50</v>
      </c>
      <c r="R74" s="10"/>
      <c r="S74" s="10" t="s">
        <v>1</v>
      </c>
      <c r="T74" s="10" t="s">
        <v>3</v>
      </c>
      <c r="U74" s="10"/>
      <c r="X74" s="10"/>
      <c r="BM74" s="1"/>
      <c r="BN74" s="1"/>
    </row>
    <row r="75" spans="1:66" ht="11.25" customHeight="1" x14ac:dyDescent="0.25">
      <c r="A75" s="1" t="str">
        <f>IF(R75=0,"",COUNTIF(A$23:A74,"&gt;0")+1)</f>
        <v/>
      </c>
      <c r="B75" s="76"/>
      <c r="C75" s="77" t="s">
        <v>51</v>
      </c>
      <c r="D75" s="78" t="s">
        <v>52</v>
      </c>
      <c r="E75" s="79"/>
      <c r="F75" s="79"/>
      <c r="G75" s="80" t="s">
        <v>53</v>
      </c>
      <c r="H75" s="81" t="s">
        <v>54</v>
      </c>
      <c r="I75" s="82"/>
      <c r="J75" s="83"/>
      <c r="K75" s="84">
        <f>IF(VLOOKUP(D75,A!A$1:H$767,4,FALSE)="y",1,0)</f>
        <v>1</v>
      </c>
      <c r="L75" s="84">
        <f>IF(VLOOKUP(D75,A!A$1:H$767,5,FALSE)="y",1,0)</f>
        <v>0</v>
      </c>
      <c r="M75" s="714" t="str">
        <f>IF(VLOOKUP(D75,A!A$1:H$767,3,FALSE)="y","NEW","")</f>
        <v/>
      </c>
      <c r="N75" s="83">
        <f>VLOOKUP(D75,A!A$1:H$767,6,FALSE)</f>
        <v>0</v>
      </c>
      <c r="O75" s="86" t="s">
        <v>55</v>
      </c>
      <c r="P75" s="10" t="str">
        <f>VLOOKUP(D75,A!A$1:G$767,2,FALSE)</f>
        <v>Y</v>
      </c>
      <c r="Q75" s="10" t="s">
        <v>57</v>
      </c>
      <c r="R75" s="10">
        <f t="shared" ref="R75:R115" si="9">B75</f>
        <v>0</v>
      </c>
      <c r="S75" s="10">
        <f>VLOOKUP(D75,A!A$1:AK$767,31,FALSE)</f>
        <v>35</v>
      </c>
      <c r="T75" s="10">
        <v>0.2</v>
      </c>
      <c r="U75" s="10">
        <f t="shared" ref="U75:U115" si="10">T75*B75</f>
        <v>0</v>
      </c>
      <c r="X75" s="10"/>
      <c r="BM75" s="1"/>
      <c r="BN75" s="1"/>
    </row>
    <row r="76" spans="1:66" ht="11.25" customHeight="1" x14ac:dyDescent="0.25">
      <c r="A76" s="1" t="str">
        <f>IF(R76=0,"",COUNTIF(A$23:A75,"&gt;0")+1)</f>
        <v/>
      </c>
      <c r="B76" s="87"/>
      <c r="C76" s="63" t="s">
        <v>51</v>
      </c>
      <c r="D76" s="88" t="s">
        <v>58</v>
      </c>
      <c r="E76" s="65"/>
      <c r="F76" s="65"/>
      <c r="G76" s="89" t="s">
        <v>53</v>
      </c>
      <c r="H76" s="90" t="s">
        <v>59</v>
      </c>
      <c r="I76" s="91"/>
      <c r="J76" s="67"/>
      <c r="K76" s="68">
        <f>IF(VLOOKUP(D76,A!A$1:H$767,4,FALSE)="y",1,0)</f>
        <v>1</v>
      </c>
      <c r="L76" s="68">
        <f>IF(VLOOKUP(D76,A!A$1:H$767,5,FALSE)="y",1,0)</f>
        <v>0</v>
      </c>
      <c r="M76" s="711"/>
      <c r="N76" s="67">
        <f>VLOOKUP(D76,A!A$1:H$767,6,FALSE)</f>
        <v>0</v>
      </c>
      <c r="O76" s="93">
        <v>1</v>
      </c>
      <c r="P76" s="10" t="str">
        <f>VLOOKUP(D76,A!A$1:G$767,2,FALSE)</f>
        <v>Y</v>
      </c>
      <c r="Q76" s="10" t="s">
        <v>57</v>
      </c>
      <c r="R76" s="10">
        <f t="shared" si="9"/>
        <v>0</v>
      </c>
      <c r="S76" s="10">
        <f>VLOOKUP(D76,A!A$1:AK$767,31,FALSE)</f>
        <v>35</v>
      </c>
      <c r="T76" s="10">
        <v>0.2</v>
      </c>
      <c r="U76" s="10">
        <f t="shared" si="10"/>
        <v>0</v>
      </c>
      <c r="X76" s="10"/>
      <c r="BM76" s="1"/>
      <c r="BN76" s="1"/>
    </row>
    <row r="77" spans="1:66" ht="11.25" customHeight="1" x14ac:dyDescent="0.25">
      <c r="A77" s="1" t="str">
        <f>IF(R77=0,"",COUNTIF(A$23:A76,"&gt;0")+1)</f>
        <v/>
      </c>
      <c r="B77" s="87"/>
      <c r="C77" s="63" t="s">
        <v>51</v>
      </c>
      <c r="D77" s="88" t="s">
        <v>60</v>
      </c>
      <c r="E77" s="65"/>
      <c r="F77" s="65"/>
      <c r="G77" s="89" t="s">
        <v>61</v>
      </c>
      <c r="H77" s="90" t="s">
        <v>62</v>
      </c>
      <c r="I77" s="67">
        <f>VLOOKUP(D77,A!A$1:H$767,8,FALSE)</f>
        <v>2</v>
      </c>
      <c r="J77" s="67" t="s">
        <v>63</v>
      </c>
      <c r="K77" s="68">
        <f>IF(VLOOKUP(D77,A!A$1:H$767,4,FALSE)="y",1,0)</f>
        <v>1</v>
      </c>
      <c r="L77" s="68">
        <f>IF(VLOOKUP(D77,A!A$1:H$767,5,FALSE)="y",1,0)</f>
        <v>0</v>
      </c>
      <c r="M77" s="711"/>
      <c r="N77" s="67">
        <f>VLOOKUP(D77,A!A$1:H$767,6,FALSE)</f>
        <v>0</v>
      </c>
      <c r="O77" s="93" t="s">
        <v>65</v>
      </c>
      <c r="P77" s="10" t="str">
        <f>VLOOKUP(D77,A!A$1:G$767,2,FALSE)</f>
        <v>y</v>
      </c>
      <c r="Q77" s="10" t="s">
        <v>57</v>
      </c>
      <c r="R77" s="10">
        <f t="shared" si="9"/>
        <v>0</v>
      </c>
      <c r="S77" s="10">
        <f>VLOOKUP(D77,A!A$1:AK$767,31,FALSE)</f>
        <v>35</v>
      </c>
      <c r="T77" s="10">
        <v>0.2</v>
      </c>
      <c r="U77" s="10">
        <f t="shared" si="10"/>
        <v>0</v>
      </c>
      <c r="X77" s="10"/>
      <c r="BM77" s="1"/>
      <c r="BN77" s="1"/>
    </row>
    <row r="78" spans="1:66" ht="11.25" hidden="1" customHeight="1" x14ac:dyDescent="0.25">
      <c r="A78" s="1" t="str">
        <f>IF(R78=0,"",COUNTIF(A$23:A77,"&gt;0")+1)</f>
        <v/>
      </c>
      <c r="B78" s="87"/>
      <c r="C78" s="63" t="s">
        <v>51</v>
      </c>
      <c r="D78" s="88" t="s">
        <v>67</v>
      </c>
      <c r="E78" s="65"/>
      <c r="F78" s="65"/>
      <c r="G78" s="89" t="s">
        <v>68</v>
      </c>
      <c r="H78" s="94" t="s">
        <v>69</v>
      </c>
      <c r="I78" s="67">
        <f>VLOOKUP(D78,A!A$1:H$767,8,FALSE)</f>
        <v>2</v>
      </c>
      <c r="J78" s="67"/>
      <c r="K78" s="68">
        <f>IF(VLOOKUP(D78,A!A$1:H$767,4,FALSE)="y",1,0)</f>
        <v>0</v>
      </c>
      <c r="L78" s="68">
        <f>IF(VLOOKUP(D78,A!A$1:H$767,5,FALSE)="y",1,0)</f>
        <v>0</v>
      </c>
      <c r="M78" s="711"/>
      <c r="N78" s="67">
        <f>VLOOKUP(D78,A!A$1:H$767,6,FALSE)</f>
        <v>0</v>
      </c>
      <c r="O78" s="93" t="s">
        <v>65</v>
      </c>
      <c r="P78" s="10">
        <f>VLOOKUP(D78,A!A$1:G$767,2,FALSE)</f>
        <v>0</v>
      </c>
      <c r="Q78" s="10" t="s">
        <v>57</v>
      </c>
      <c r="R78" s="10">
        <f t="shared" si="9"/>
        <v>0</v>
      </c>
      <c r="S78" s="10">
        <f>VLOOKUP(D78,A!A$1:AK$767,31,FALSE)</f>
        <v>55</v>
      </c>
      <c r="T78" s="10">
        <v>0.2</v>
      </c>
      <c r="U78" s="10">
        <f t="shared" si="10"/>
        <v>0</v>
      </c>
      <c r="X78" s="10"/>
    </row>
    <row r="79" spans="1:66" ht="11.25" hidden="1" customHeight="1" x14ac:dyDescent="0.25">
      <c r="A79" s="1" t="str">
        <f>IF(R79=0,"",COUNTIF(A$23:A78,"&gt;0")+1)</f>
        <v/>
      </c>
      <c r="B79" s="87"/>
      <c r="C79" s="63" t="s">
        <v>51</v>
      </c>
      <c r="D79" s="88" t="s">
        <v>70</v>
      </c>
      <c r="E79" s="65"/>
      <c r="F79" s="65"/>
      <c r="G79" s="89" t="s">
        <v>71</v>
      </c>
      <c r="H79" s="94" t="s">
        <v>72</v>
      </c>
      <c r="I79" s="67">
        <f>VLOOKUP(D79,A!A$1:H$767,8,FALSE)</f>
        <v>1</v>
      </c>
      <c r="J79" s="67"/>
      <c r="K79" s="68">
        <f>IF(VLOOKUP(D79,A!A$1:H$767,4,FALSE)="y",1,0)</f>
        <v>0</v>
      </c>
      <c r="L79" s="68">
        <f>IF(VLOOKUP(D79,A!A$1:H$767,5,FALSE)="y",1,0)</f>
        <v>0</v>
      </c>
      <c r="M79" s="711"/>
      <c r="N79" s="67">
        <f>VLOOKUP(D79,A!A$1:H$767,6,FALSE)</f>
        <v>0</v>
      </c>
      <c r="O79" s="93" t="s">
        <v>73</v>
      </c>
      <c r="P79" s="10">
        <f>VLOOKUP(D79,A!A$1:G$767,2,FALSE)</f>
        <v>0</v>
      </c>
      <c r="Q79" s="10" t="s">
        <v>57</v>
      </c>
      <c r="R79" s="10">
        <f t="shared" si="9"/>
        <v>0</v>
      </c>
      <c r="S79" s="10">
        <f>VLOOKUP(D79,A!A$1:AK$767,31,FALSE)</f>
        <v>35</v>
      </c>
      <c r="T79" s="10">
        <v>0.2</v>
      </c>
      <c r="U79" s="10">
        <f t="shared" si="10"/>
        <v>0</v>
      </c>
      <c r="X79" s="10"/>
    </row>
    <row r="80" spans="1:66" ht="11.25" customHeight="1" x14ac:dyDescent="0.25">
      <c r="A80" s="1" t="str">
        <f>IF(R80=0,"",COUNTIF(A$23:A79,"&gt;0")+1)</f>
        <v/>
      </c>
      <c r="B80" s="87"/>
      <c r="C80" s="63" t="s">
        <v>51</v>
      </c>
      <c r="D80" s="88" t="s">
        <v>74</v>
      </c>
      <c r="E80" s="65"/>
      <c r="F80" s="65"/>
      <c r="G80" s="89" t="s">
        <v>75</v>
      </c>
      <c r="H80" s="90" t="s">
        <v>76</v>
      </c>
      <c r="I80" s="67">
        <f>VLOOKUP(D80,A!A$1:H$767,8,FALSE)</f>
        <v>1</v>
      </c>
      <c r="J80" s="67"/>
      <c r="K80" s="68">
        <f>IF(VLOOKUP(D80,A!A$1:H$767,4,FALSE)="y",1,0)</f>
        <v>1</v>
      </c>
      <c r="L80" s="68">
        <f>IF(VLOOKUP(D80,A!A$1:H$767,5,FALSE)="y",1,0)</f>
        <v>1</v>
      </c>
      <c r="M80" s="711"/>
      <c r="N80" s="67">
        <f>VLOOKUP(D80,A!A$1:H$767,6,FALSE)</f>
        <v>0</v>
      </c>
      <c r="O80" s="93" t="s">
        <v>73</v>
      </c>
      <c r="P80" s="10" t="str">
        <f>VLOOKUP(D80,A!A$1:G$767,2,FALSE)</f>
        <v>y</v>
      </c>
      <c r="Q80" s="10" t="s">
        <v>57</v>
      </c>
      <c r="R80" s="10">
        <f t="shared" si="9"/>
        <v>0</v>
      </c>
      <c r="S80" s="10">
        <f>VLOOKUP(D80,A!A$1:AK$767,31,FALSE)</f>
        <v>35</v>
      </c>
      <c r="T80" s="10">
        <v>0.2</v>
      </c>
      <c r="U80" s="10">
        <f t="shared" si="10"/>
        <v>0</v>
      </c>
      <c r="X80" s="10"/>
    </row>
    <row r="81" spans="1:24" ht="10.9" hidden="1" customHeight="1" x14ac:dyDescent="0.25">
      <c r="A81" s="1" t="str">
        <f>IF(R81=0,"",COUNTIF(A$23:A80,"&gt;0")+1)</f>
        <v/>
      </c>
      <c r="B81" s="87"/>
      <c r="C81" s="63" t="s">
        <v>51</v>
      </c>
      <c r="D81" s="65" t="s">
        <v>77</v>
      </c>
      <c r="E81" s="65"/>
      <c r="F81" s="65"/>
      <c r="G81" s="89" t="s">
        <v>78</v>
      </c>
      <c r="H81" s="90" t="s">
        <v>79</v>
      </c>
      <c r="I81" s="67">
        <f>VLOOKUP(D81,A!A$1:H$767,8,FALSE)</f>
        <v>2</v>
      </c>
      <c r="J81" s="67"/>
      <c r="K81" s="68">
        <f>IF(VLOOKUP(D81,A!A$1:H$767,4,FALSE)="y",1,0)</f>
        <v>0</v>
      </c>
      <c r="L81" s="68">
        <f>IF(VLOOKUP(D81,A!A$1:H$767,5,FALSE)="y",1,0)</f>
        <v>0</v>
      </c>
      <c r="M81" s="711"/>
      <c r="N81" s="67">
        <f>VLOOKUP(D81,A!A$1:H$767,6,FALSE)</f>
        <v>0</v>
      </c>
      <c r="O81" s="93" t="s">
        <v>73</v>
      </c>
      <c r="P81" s="10">
        <f>VLOOKUP(D81,A!A$1:G$767,2,FALSE)</f>
        <v>0</v>
      </c>
      <c r="Q81" s="10" t="s">
        <v>57</v>
      </c>
      <c r="R81" s="10">
        <f t="shared" si="9"/>
        <v>0</v>
      </c>
      <c r="S81" s="10">
        <f>VLOOKUP(D81,A!A$1:AK$767,31,FALSE)</f>
        <v>35</v>
      </c>
      <c r="T81" s="10">
        <v>0.2</v>
      </c>
      <c r="U81" s="10">
        <f t="shared" si="10"/>
        <v>0</v>
      </c>
      <c r="X81" s="10"/>
    </row>
    <row r="82" spans="1:24" ht="11.25" hidden="1" customHeight="1" x14ac:dyDescent="0.25">
      <c r="A82" s="1" t="str">
        <f>IF(R82=0,"",COUNTIF(A$23:A81,"&gt;0")+1)</f>
        <v/>
      </c>
      <c r="B82" s="87"/>
      <c r="C82" s="63" t="s">
        <v>51</v>
      </c>
      <c r="D82" s="88" t="s">
        <v>80</v>
      </c>
      <c r="E82" s="65"/>
      <c r="F82" s="65"/>
      <c r="G82" s="89" t="s">
        <v>81</v>
      </c>
      <c r="H82" s="90" t="s">
        <v>82</v>
      </c>
      <c r="I82" s="67">
        <f>VLOOKUP(D82,A!A$1:H$767,8,FALSE)</f>
        <v>2</v>
      </c>
      <c r="J82" s="67"/>
      <c r="K82" s="68">
        <f>IF(VLOOKUP(D82,A!A$1:H$767,4,FALSE)="y",1,0)</f>
        <v>0</v>
      </c>
      <c r="L82" s="68">
        <f>IF(VLOOKUP(D82,A!A$1:H$767,5,FALSE)="y",1,0)</f>
        <v>0</v>
      </c>
      <c r="M82" s="711"/>
      <c r="N82" s="67">
        <f>VLOOKUP(D82,A!A$1:H$767,6,FALSE)</f>
        <v>0</v>
      </c>
      <c r="O82" s="93">
        <v>2</v>
      </c>
      <c r="P82" s="10">
        <f>VLOOKUP(D82,A!A$1:G$767,2,FALSE)</f>
        <v>0</v>
      </c>
      <c r="Q82" s="10" t="s">
        <v>57</v>
      </c>
      <c r="R82" s="10">
        <f t="shared" si="9"/>
        <v>0</v>
      </c>
      <c r="S82" s="10" t="str">
        <f>VLOOKUP(D82,A!A$1:AK$767,31,FALSE)</f>
        <v/>
      </c>
      <c r="T82" s="10">
        <v>0.2</v>
      </c>
      <c r="U82" s="10">
        <f t="shared" si="10"/>
        <v>0</v>
      </c>
      <c r="X82" s="10"/>
    </row>
    <row r="83" spans="1:24" ht="11.25" hidden="1" customHeight="1" x14ac:dyDescent="0.25">
      <c r="A83" s="1" t="str">
        <f>IF(R83=0,"",COUNTIF(A$23:A82,"&gt;0")+1)</f>
        <v/>
      </c>
      <c r="B83" s="87"/>
      <c r="C83" s="63" t="s">
        <v>51</v>
      </c>
      <c r="D83" s="527" t="s">
        <v>1380</v>
      </c>
      <c r="E83" s="65"/>
      <c r="F83" s="65"/>
      <c r="G83" s="89" t="s">
        <v>1381</v>
      </c>
      <c r="H83" s="90" t="s">
        <v>1390</v>
      </c>
      <c r="I83" s="67">
        <v>1</v>
      </c>
      <c r="J83" s="67"/>
      <c r="K83" s="68"/>
      <c r="L83" s="68"/>
      <c r="M83" s="711" t="s">
        <v>64</v>
      </c>
      <c r="N83" s="67"/>
      <c r="O83" s="93" t="s">
        <v>73</v>
      </c>
      <c r="P83" s="10">
        <f>VLOOKUP(D83,A!A$1:G$767,2,FALSE)</f>
        <v>0</v>
      </c>
      <c r="Q83" s="10" t="s">
        <v>57</v>
      </c>
      <c r="R83" s="10">
        <f>B83</f>
        <v>0</v>
      </c>
      <c r="S83" s="10">
        <f>VLOOKUP(D83,A!A$1:AK$767,31,FALSE)</f>
        <v>35</v>
      </c>
      <c r="T83" s="10">
        <v>0.2</v>
      </c>
      <c r="U83" s="10">
        <f>T83*B83</f>
        <v>0</v>
      </c>
      <c r="X83" s="10"/>
    </row>
    <row r="84" spans="1:24" ht="11.25" hidden="1" customHeight="1" x14ac:dyDescent="0.25">
      <c r="A84" s="1" t="str">
        <f>IF(R84=0,"",COUNTIF(A$23:A83,"&gt;0")+1)</f>
        <v/>
      </c>
      <c r="B84" s="87"/>
      <c r="C84" s="63" t="s">
        <v>51</v>
      </c>
      <c r="D84" s="88" t="s">
        <v>83</v>
      </c>
      <c r="E84" s="65"/>
      <c r="F84" s="65"/>
      <c r="G84" s="89" t="s">
        <v>84</v>
      </c>
      <c r="H84" s="90" t="s">
        <v>85</v>
      </c>
      <c r="I84" s="67">
        <f>VLOOKUP(D84,A!A$1:H$767,8,FALSE)</f>
        <v>1</v>
      </c>
      <c r="J84" s="67"/>
      <c r="K84" s="68">
        <f>IF(VLOOKUP(D84,A!A$1:H$767,4,FALSE)="y",1,0)</f>
        <v>0</v>
      </c>
      <c r="L84" s="68">
        <f>IF(VLOOKUP(D84,A!A$1:H$767,5,FALSE)="y",1,0)</f>
        <v>0</v>
      </c>
      <c r="M84" s="711"/>
      <c r="N84" s="67">
        <f>VLOOKUP(D84,A!A$1:H$767,6,FALSE)</f>
        <v>0</v>
      </c>
      <c r="O84" s="93" t="s">
        <v>73</v>
      </c>
      <c r="P84" s="10">
        <f>VLOOKUP(D84,A!A$1:G$767,2,FALSE)</f>
        <v>0</v>
      </c>
      <c r="Q84" s="10" t="s">
        <v>57</v>
      </c>
      <c r="R84" s="10">
        <f t="shared" si="9"/>
        <v>0</v>
      </c>
      <c r="S84" s="10">
        <f>VLOOKUP(D84,A!A$1:AK$767,31,FALSE)</f>
        <v>55</v>
      </c>
      <c r="T84" s="10">
        <v>0.2</v>
      </c>
      <c r="U84" s="10">
        <f t="shared" si="10"/>
        <v>0</v>
      </c>
      <c r="X84" s="10"/>
    </row>
    <row r="85" spans="1:24" ht="11.25" customHeight="1" x14ac:dyDescent="0.25">
      <c r="A85" s="1" t="str">
        <f>IF(R85=0,"",COUNTIF(A$23:A84,"&gt;0")+1)</f>
        <v/>
      </c>
      <c r="B85" s="87"/>
      <c r="C85" s="63" t="s">
        <v>51</v>
      </c>
      <c r="D85" s="88" t="s">
        <v>86</v>
      </c>
      <c r="E85" s="65"/>
      <c r="F85" s="65"/>
      <c r="G85" s="89" t="s">
        <v>87</v>
      </c>
      <c r="H85" s="90" t="s">
        <v>88</v>
      </c>
      <c r="I85" s="67">
        <f>VLOOKUP(D85,A!A$1:H$767,8,FALSE)</f>
        <v>1</v>
      </c>
      <c r="J85" s="67" t="s">
        <v>63</v>
      </c>
      <c r="K85" s="68">
        <f>IF(VLOOKUP(D85,A!A$1:H$767,4,FALSE)="y",1,0)</f>
        <v>1</v>
      </c>
      <c r="L85" s="68">
        <f>IF(VLOOKUP(D85,A!A$1:H$767,5,FALSE)="y",1,0)</f>
        <v>0</v>
      </c>
      <c r="M85" s="711"/>
      <c r="N85" s="67" t="str">
        <f>VLOOKUP(D85,A!A$1:H$767,6,FALSE)</f>
        <v>y</v>
      </c>
      <c r="O85" s="93" t="s">
        <v>73</v>
      </c>
      <c r="P85" s="10" t="str">
        <f>VLOOKUP(D85,A!A$1:G$767,2,FALSE)</f>
        <v>y</v>
      </c>
      <c r="Q85" s="10" t="s">
        <v>57</v>
      </c>
      <c r="R85" s="10">
        <f t="shared" si="9"/>
        <v>0</v>
      </c>
      <c r="S85" s="10">
        <f>VLOOKUP(D85,A!A$1:AK$767,31,FALSE)</f>
        <v>55</v>
      </c>
      <c r="T85" s="10">
        <v>0.2</v>
      </c>
      <c r="U85" s="10">
        <f t="shared" si="10"/>
        <v>0</v>
      </c>
      <c r="X85" s="10"/>
    </row>
    <row r="86" spans="1:24" ht="11.25" hidden="1" customHeight="1" x14ac:dyDescent="0.25">
      <c r="A86" s="1" t="str">
        <f>IF(R86=0,"",COUNTIF(A$23:A85,"&gt;0")+1)</f>
        <v/>
      </c>
      <c r="B86" s="87"/>
      <c r="C86" s="63" t="s">
        <v>51</v>
      </c>
      <c r="D86" s="88" t="s">
        <v>89</v>
      </c>
      <c r="E86" s="65"/>
      <c r="F86" s="65"/>
      <c r="G86" s="89" t="s">
        <v>90</v>
      </c>
      <c r="H86" s="90" t="s">
        <v>91</v>
      </c>
      <c r="I86" s="67">
        <f>VLOOKUP(D86,A!A$1:H$767,8,FALSE)</f>
        <v>2</v>
      </c>
      <c r="J86" s="67"/>
      <c r="K86" s="68">
        <f>IF(VLOOKUP(D86,A!A$1:H$767,4,FALSE)="y",1,0)</f>
        <v>0</v>
      </c>
      <c r="L86" s="68">
        <f>IF(VLOOKUP(D86,A!A$1:H$767,5,FALSE)="y",1,0)</f>
        <v>0</v>
      </c>
      <c r="M86" s="711"/>
      <c r="N86" s="67">
        <f>VLOOKUP(D86,A!A$1:H$767,6,FALSE)</f>
        <v>0</v>
      </c>
      <c r="O86" s="93" t="s">
        <v>73</v>
      </c>
      <c r="P86" s="10">
        <f>VLOOKUP(D86,A!A$1:G$767,2,FALSE)</f>
        <v>0</v>
      </c>
      <c r="Q86" s="10" t="s">
        <v>57</v>
      </c>
      <c r="R86" s="10">
        <f t="shared" si="9"/>
        <v>0</v>
      </c>
      <c r="S86" s="10" t="str">
        <f>VLOOKUP(D86,A!A$1:AK$767,31,FALSE)</f>
        <v/>
      </c>
      <c r="T86" s="10">
        <v>0.2</v>
      </c>
      <c r="U86" s="10">
        <f t="shared" si="10"/>
        <v>0</v>
      </c>
      <c r="X86" s="10"/>
    </row>
    <row r="87" spans="1:24" ht="11.25" hidden="1" customHeight="1" x14ac:dyDescent="0.25">
      <c r="A87" s="1" t="str">
        <f>IF(R87=0,"",COUNTIF(A$23:A86,"&gt;0")+1)</f>
        <v/>
      </c>
      <c r="B87" s="87"/>
      <c r="C87" s="63" t="s">
        <v>51</v>
      </c>
      <c r="D87" s="88" t="s">
        <v>92</v>
      </c>
      <c r="E87" s="65"/>
      <c r="F87" s="65"/>
      <c r="G87" s="89" t="s">
        <v>93</v>
      </c>
      <c r="H87" s="90" t="s">
        <v>94</v>
      </c>
      <c r="I87" s="67">
        <f>VLOOKUP(D87,A!A$1:H$767,8,FALSE)</f>
        <v>3</v>
      </c>
      <c r="J87" s="67" t="s">
        <v>63</v>
      </c>
      <c r="K87" s="68">
        <f>IF(VLOOKUP(D87,A!A$1:H$767,4,FALSE)="y",1,0)</f>
        <v>0</v>
      </c>
      <c r="L87" s="68">
        <f>IF(VLOOKUP(D87,A!A$1:H$767,5,FALSE)="y",1,0)</f>
        <v>0</v>
      </c>
      <c r="M87" s="711"/>
      <c r="N87" s="67">
        <f>VLOOKUP(D87,A!A$1:H$767,6,FALSE)</f>
        <v>0</v>
      </c>
      <c r="O87" s="93" t="s">
        <v>73</v>
      </c>
      <c r="P87" s="10">
        <f>VLOOKUP(D87,A!A$1:G$767,2,FALSE)</f>
        <v>0</v>
      </c>
      <c r="Q87" s="10" t="s">
        <v>57</v>
      </c>
      <c r="R87" s="10">
        <f t="shared" si="9"/>
        <v>0</v>
      </c>
      <c r="S87" s="10">
        <f>VLOOKUP(D87,A!A$1:AK$767,31,FALSE)</f>
        <v>55</v>
      </c>
      <c r="T87" s="10">
        <v>0.2</v>
      </c>
      <c r="U87" s="10">
        <f t="shared" si="10"/>
        <v>0</v>
      </c>
      <c r="X87" s="10"/>
    </row>
    <row r="88" spans="1:24" ht="11.25" hidden="1" customHeight="1" x14ac:dyDescent="0.25">
      <c r="A88" s="1" t="str">
        <f>IF(R88=0,"",COUNTIF(A$23:A87,"&gt;0")+1)</f>
        <v/>
      </c>
      <c r="B88" s="87"/>
      <c r="C88" s="63" t="s">
        <v>51</v>
      </c>
      <c r="D88" s="88" t="s">
        <v>95</v>
      </c>
      <c r="E88" s="65"/>
      <c r="F88" s="65"/>
      <c r="G88" s="89" t="s">
        <v>96</v>
      </c>
      <c r="H88" s="90" t="s">
        <v>97</v>
      </c>
      <c r="I88" s="67">
        <f>VLOOKUP(D88,A!A$1:H$767,8,FALSE)</f>
        <v>1</v>
      </c>
      <c r="J88" s="67"/>
      <c r="K88" s="68">
        <f>IF(VLOOKUP(D88,A!A$1:H$767,4,FALSE)="y",1,0)</f>
        <v>0</v>
      </c>
      <c r="L88" s="68">
        <f>IF(VLOOKUP(D88,A!A$1:H$767,5,FALSE)="y",1,0)</f>
        <v>0</v>
      </c>
      <c r="M88" s="711"/>
      <c r="N88" s="67">
        <f>VLOOKUP(D88,A!A$1:H$767,6,FALSE)</f>
        <v>0</v>
      </c>
      <c r="O88" s="93" t="s">
        <v>55</v>
      </c>
      <c r="P88" s="10">
        <f>VLOOKUP(D88,A!A$1:G$767,2,FALSE)</f>
        <v>0</v>
      </c>
      <c r="Q88" s="10" t="s">
        <v>57</v>
      </c>
      <c r="R88" s="10">
        <f t="shared" si="9"/>
        <v>0</v>
      </c>
      <c r="S88" s="10" t="str">
        <f>VLOOKUP(D88,A!A$1:AK$767,31,FALSE)</f>
        <v/>
      </c>
      <c r="T88" s="10">
        <v>0.2</v>
      </c>
      <c r="U88" s="10">
        <f t="shared" si="10"/>
        <v>0</v>
      </c>
      <c r="X88" s="10"/>
    </row>
    <row r="89" spans="1:24" ht="11.25" hidden="1" customHeight="1" x14ac:dyDescent="0.25">
      <c r="A89" s="1" t="str">
        <f>IF(R89=0,"",COUNTIF(A$23:A88,"&gt;0")+1)</f>
        <v/>
      </c>
      <c r="B89" s="87"/>
      <c r="C89" s="63" t="s">
        <v>51</v>
      </c>
      <c r="D89" s="88" t="s">
        <v>98</v>
      </c>
      <c r="E89" s="65"/>
      <c r="F89" s="65"/>
      <c r="G89" s="89" t="s">
        <v>99</v>
      </c>
      <c r="H89" s="90" t="s">
        <v>100</v>
      </c>
      <c r="I89" s="67">
        <f>VLOOKUP(D89,A!A$1:H$767,8,FALSE)</f>
        <v>2</v>
      </c>
      <c r="J89" s="67"/>
      <c r="K89" s="68">
        <f>IF(VLOOKUP(D89,A!A$1:H$767,4,FALSE)="y",1,0)</f>
        <v>0</v>
      </c>
      <c r="L89" s="68">
        <f>IF(VLOOKUP(D89,A!A$1:H$767,5,FALSE)="y",1,0)</f>
        <v>0</v>
      </c>
      <c r="M89" s="711"/>
      <c r="N89" s="67">
        <f>VLOOKUP(D89,A!A$1:H$767,6,FALSE)</f>
        <v>0</v>
      </c>
      <c r="O89" s="93">
        <v>1</v>
      </c>
      <c r="P89" s="10">
        <f>VLOOKUP(D89,A!A$1:G$767,2,FALSE)</f>
        <v>0</v>
      </c>
      <c r="Q89" s="10" t="s">
        <v>57</v>
      </c>
      <c r="R89" s="10">
        <f t="shared" si="9"/>
        <v>0</v>
      </c>
      <c r="S89" s="10" t="str">
        <f>VLOOKUP(D89,A!A$1:AK$767,31,FALSE)</f>
        <v/>
      </c>
      <c r="T89" s="10">
        <v>0.2</v>
      </c>
      <c r="U89" s="10">
        <f t="shared" si="10"/>
        <v>0</v>
      </c>
      <c r="X89" s="10"/>
    </row>
    <row r="90" spans="1:24" ht="11.25" hidden="1" customHeight="1" x14ac:dyDescent="0.25">
      <c r="A90" s="1" t="str">
        <f>IF(R90=0,"",COUNTIF(A$23:A89,"&gt;0")+1)</f>
        <v/>
      </c>
      <c r="B90" s="87"/>
      <c r="C90" s="63" t="s">
        <v>51</v>
      </c>
      <c r="D90" s="88" t="s">
        <v>101</v>
      </c>
      <c r="E90" s="65"/>
      <c r="F90" s="65"/>
      <c r="G90" s="89" t="s">
        <v>102</v>
      </c>
      <c r="H90" s="90" t="s">
        <v>103</v>
      </c>
      <c r="I90" s="67">
        <f>VLOOKUP(D90,A!A$1:H$767,8,FALSE)</f>
        <v>2</v>
      </c>
      <c r="J90" s="67"/>
      <c r="K90" s="68">
        <f>IF(VLOOKUP(D90,A!A$1:H$767,4,FALSE)="y",1,0)</f>
        <v>0</v>
      </c>
      <c r="L90" s="68">
        <f>IF(VLOOKUP(D90,A!A$1:H$767,5,FALSE)="y",1,0)</f>
        <v>0</v>
      </c>
      <c r="M90" s="711"/>
      <c r="N90" s="67">
        <f>VLOOKUP(D90,A!A$1:H$767,6,FALSE)</f>
        <v>0</v>
      </c>
      <c r="O90" s="93">
        <v>2</v>
      </c>
      <c r="P90" s="10">
        <f>VLOOKUP(D90,A!A$1:G$767,2,FALSE)</f>
        <v>0</v>
      </c>
      <c r="Q90" s="10" t="s">
        <v>57</v>
      </c>
      <c r="R90" s="10">
        <f t="shared" si="9"/>
        <v>0</v>
      </c>
      <c r="S90" s="10">
        <f>VLOOKUP(D90,A!A$1:AK$767,31,FALSE)</f>
        <v>25</v>
      </c>
      <c r="T90" s="10">
        <v>0.2</v>
      </c>
      <c r="U90" s="10">
        <f t="shared" si="10"/>
        <v>0</v>
      </c>
      <c r="X90" s="10"/>
    </row>
    <row r="91" spans="1:24" ht="11.25" customHeight="1" x14ac:dyDescent="0.25">
      <c r="A91" s="1" t="str">
        <f>IF(R91=0,"",COUNTIF(A$23:A90,"&gt;0")+1)</f>
        <v/>
      </c>
      <c r="B91" s="87"/>
      <c r="C91" s="63" t="s">
        <v>51</v>
      </c>
      <c r="D91" s="88" t="s">
        <v>104</v>
      </c>
      <c r="E91" s="65"/>
      <c r="F91" s="65"/>
      <c r="G91" s="89" t="s">
        <v>105</v>
      </c>
      <c r="H91" s="90" t="s">
        <v>106</v>
      </c>
      <c r="I91" s="67">
        <f>VLOOKUP(D91,A!A$1:H$767,8,FALSE)</f>
        <v>1</v>
      </c>
      <c r="J91" s="67" t="s">
        <v>63</v>
      </c>
      <c r="K91" s="68">
        <f>IF(VLOOKUP(D91,A!A$1:H$767,4,FALSE)="y",1,0)</f>
        <v>1</v>
      </c>
      <c r="L91" s="68">
        <f>IF(VLOOKUP(D91,A!A$1:H$767,5,FALSE)="y",1,0)</f>
        <v>0</v>
      </c>
      <c r="M91" s="711"/>
      <c r="N91" s="67">
        <f>VLOOKUP(D91,A!A$1:H$767,6,FALSE)</f>
        <v>0</v>
      </c>
      <c r="O91" s="93" t="s">
        <v>65</v>
      </c>
      <c r="P91" s="10" t="str">
        <f>VLOOKUP(D91,A!A$1:G$767,2,FALSE)</f>
        <v>y</v>
      </c>
      <c r="Q91" s="10" t="s">
        <v>57</v>
      </c>
      <c r="R91" s="10">
        <f t="shared" si="9"/>
        <v>0</v>
      </c>
      <c r="S91" s="10">
        <f>VLOOKUP(D91,A!A$1:AK$767,31,FALSE)</f>
        <v>55</v>
      </c>
      <c r="T91" s="10">
        <v>0.2</v>
      </c>
      <c r="U91" s="10">
        <f t="shared" si="10"/>
        <v>0</v>
      </c>
      <c r="X91" s="10"/>
    </row>
    <row r="92" spans="1:24" ht="11.25" hidden="1" customHeight="1" x14ac:dyDescent="0.25">
      <c r="A92" s="1" t="str">
        <f>IF(R92=0,"",COUNTIF(A$23:A91,"&gt;0")+1)</f>
        <v/>
      </c>
      <c r="B92" s="87"/>
      <c r="C92" s="63" t="s">
        <v>51</v>
      </c>
      <c r="D92" s="88" t="s">
        <v>107</v>
      </c>
      <c r="E92" s="65"/>
      <c r="F92" s="65"/>
      <c r="G92" s="89" t="s">
        <v>108</v>
      </c>
      <c r="H92" s="90" t="s">
        <v>109</v>
      </c>
      <c r="I92" s="67">
        <f>VLOOKUP(D92,A!A$1:H$767,8,FALSE)</f>
        <v>1</v>
      </c>
      <c r="J92" s="67"/>
      <c r="K92" s="68">
        <f>IF(VLOOKUP(D92,A!A$1:H$767,4,FALSE)="y",1,0)</f>
        <v>0</v>
      </c>
      <c r="L92" s="68">
        <f>IF(VLOOKUP(D92,A!A$1:H$767,5,FALSE)="y",1,0)</f>
        <v>0</v>
      </c>
      <c r="M92" s="711"/>
      <c r="N92" s="67">
        <f>VLOOKUP(D92,A!A$1:H$767,6,FALSE)</f>
        <v>0</v>
      </c>
      <c r="O92" s="93" t="s">
        <v>73</v>
      </c>
      <c r="P92" s="10">
        <f>VLOOKUP(D92,A!A$1:G$767,2,FALSE)</f>
        <v>0</v>
      </c>
      <c r="Q92" s="10" t="s">
        <v>57</v>
      </c>
      <c r="R92" s="10">
        <f t="shared" si="9"/>
        <v>0</v>
      </c>
      <c r="S92" s="10">
        <f>VLOOKUP(D92,A!A$1:AK$767,31,FALSE)</f>
        <v>35</v>
      </c>
      <c r="T92" s="10">
        <v>0.2</v>
      </c>
      <c r="U92" s="10">
        <f t="shared" si="10"/>
        <v>0</v>
      </c>
      <c r="X92" s="10"/>
    </row>
    <row r="93" spans="1:24" ht="11.25" customHeight="1" x14ac:dyDescent="0.25">
      <c r="A93" s="1" t="str">
        <f>IF(R93=0,"",COUNTIF(A$23:A92,"&gt;0")+1)</f>
        <v/>
      </c>
      <c r="B93" s="87"/>
      <c r="C93" s="63" t="s">
        <v>51</v>
      </c>
      <c r="D93" s="88" t="s">
        <v>110</v>
      </c>
      <c r="E93" s="65"/>
      <c r="F93" s="65"/>
      <c r="G93" s="89" t="s">
        <v>111</v>
      </c>
      <c r="H93" s="90" t="s">
        <v>112</v>
      </c>
      <c r="I93" s="67">
        <f>VLOOKUP(D93,A!A$1:H$767,8,FALSE)</f>
        <v>1</v>
      </c>
      <c r="J93" s="67" t="s">
        <v>63</v>
      </c>
      <c r="K93" s="68">
        <f>IF(VLOOKUP(D93,A!A$1:H$767,4,FALSE)="y",1,0)</f>
        <v>1</v>
      </c>
      <c r="L93" s="68">
        <f>IF(VLOOKUP(D93,A!A$1:H$767,5,FALSE)="y",1,0)</f>
        <v>0</v>
      </c>
      <c r="M93" s="711"/>
      <c r="N93" s="67">
        <f>VLOOKUP(D93,A!A$1:H$767,6,FALSE)</f>
        <v>0</v>
      </c>
      <c r="O93" s="93" t="s">
        <v>73</v>
      </c>
      <c r="P93" s="10" t="str">
        <f>VLOOKUP(D93,A!A$1:G$767,2,FALSE)</f>
        <v>y</v>
      </c>
      <c r="Q93" s="10" t="s">
        <v>57</v>
      </c>
      <c r="R93" s="10">
        <f>B93</f>
        <v>0</v>
      </c>
      <c r="S93" s="10">
        <f>VLOOKUP(D93,A!A$1:AK$767,31,FALSE)</f>
        <v>35</v>
      </c>
      <c r="T93" s="10">
        <v>0.2</v>
      </c>
      <c r="U93" s="10">
        <f>T93*B93</f>
        <v>0</v>
      </c>
      <c r="X93" s="10"/>
    </row>
    <row r="94" spans="1:24" ht="11.25" hidden="1" customHeight="1" x14ac:dyDescent="0.25">
      <c r="A94" s="1" t="str">
        <f>IF(R94=0,"",COUNTIF(A$23:A93,"&gt;0")+1)</f>
        <v/>
      </c>
      <c r="B94" s="87"/>
      <c r="C94" s="63" t="s">
        <v>51</v>
      </c>
      <c r="D94" s="88" t="s">
        <v>113</v>
      </c>
      <c r="E94" s="65"/>
      <c r="F94" s="65"/>
      <c r="G94" s="89" t="s">
        <v>114</v>
      </c>
      <c r="H94" s="90" t="s">
        <v>115</v>
      </c>
      <c r="I94" s="67">
        <f>VLOOKUP(D94,A!A$1:H$767,8,FALSE)</f>
        <v>1</v>
      </c>
      <c r="J94" s="67"/>
      <c r="K94" s="68">
        <f>IF(VLOOKUP(D94,A!A$1:H$767,4,FALSE)="y",1,0)</f>
        <v>0</v>
      </c>
      <c r="L94" s="68">
        <f>IF(VLOOKUP(D94,A!A$1:H$767,5,FALSE)="y",1,0)</f>
        <v>0</v>
      </c>
      <c r="M94" s="711" t="s">
        <v>64</v>
      </c>
      <c r="N94" s="67">
        <f>VLOOKUP(D94,A!A$1:H$767,6,FALSE)</f>
        <v>0</v>
      </c>
      <c r="O94" s="93" t="s">
        <v>73</v>
      </c>
      <c r="P94" s="10">
        <f>VLOOKUP(D94,A!A$1:G$767,2,FALSE)</f>
        <v>0</v>
      </c>
      <c r="Q94" s="10" t="s">
        <v>57</v>
      </c>
      <c r="R94" s="10">
        <f t="shared" si="9"/>
        <v>0</v>
      </c>
      <c r="S94" s="10" t="str">
        <f>VLOOKUP(D94,A!A$1:AK$767,31,FALSE)</f>
        <v/>
      </c>
      <c r="T94" s="10">
        <v>0.2</v>
      </c>
      <c r="U94" s="10">
        <f t="shared" si="10"/>
        <v>0</v>
      </c>
      <c r="X94" s="10"/>
    </row>
    <row r="95" spans="1:24" ht="11.25" hidden="1" customHeight="1" x14ac:dyDescent="0.25">
      <c r="A95" s="1" t="str">
        <f>IF(R95=0,"",COUNTIF(A$23:A94,"&gt;0")+1)</f>
        <v/>
      </c>
      <c r="B95" s="87"/>
      <c r="C95" s="63" t="s">
        <v>51</v>
      </c>
      <c r="D95" s="88" t="s">
        <v>116</v>
      </c>
      <c r="E95" s="65"/>
      <c r="F95" s="65"/>
      <c r="G95" s="89" t="s">
        <v>117</v>
      </c>
      <c r="H95" s="90" t="s">
        <v>118</v>
      </c>
      <c r="I95" s="67">
        <f>VLOOKUP(D95,A!A$1:H$767,8,FALSE)</f>
        <v>1</v>
      </c>
      <c r="J95" s="67"/>
      <c r="K95" s="68">
        <f>IF(VLOOKUP(D95,A!A$1:H$767,4,FALSE)="y",1,0)</f>
        <v>0</v>
      </c>
      <c r="L95" s="68">
        <f>IF(VLOOKUP(D95,A!A$1:H$767,5,FALSE)="y",1,0)</f>
        <v>0</v>
      </c>
      <c r="M95" s="711"/>
      <c r="N95" s="67">
        <f>VLOOKUP(D95,A!A$1:H$767,6,FALSE)</f>
        <v>0</v>
      </c>
      <c r="O95" s="93" t="s">
        <v>73</v>
      </c>
      <c r="P95" s="10">
        <f>VLOOKUP(D95,A!A$1:G$767,2,FALSE)</f>
        <v>0</v>
      </c>
      <c r="Q95" s="10" t="s">
        <v>57</v>
      </c>
      <c r="R95" s="10">
        <f t="shared" si="9"/>
        <v>0</v>
      </c>
      <c r="S95" s="10" t="str">
        <f>VLOOKUP(D95,A!A$1:AK$767,31,FALSE)</f>
        <v/>
      </c>
      <c r="T95" s="10">
        <v>0.2</v>
      </c>
      <c r="U95" s="10">
        <f t="shared" si="10"/>
        <v>0</v>
      </c>
      <c r="X95" s="10"/>
    </row>
    <row r="96" spans="1:24" ht="11.25" hidden="1" customHeight="1" x14ac:dyDescent="0.25">
      <c r="A96" s="1" t="str">
        <f>IF(R96=0,"",COUNTIF(A$23:A95,"&gt;0")+1)</f>
        <v/>
      </c>
      <c r="B96" s="87"/>
      <c r="C96" s="63" t="s">
        <v>51</v>
      </c>
      <c r="D96" s="88" t="s">
        <v>119</v>
      </c>
      <c r="E96" s="65"/>
      <c r="F96" s="65"/>
      <c r="G96" s="89" t="s">
        <v>120</v>
      </c>
      <c r="H96" s="90" t="s">
        <v>121</v>
      </c>
      <c r="I96" s="67">
        <f>VLOOKUP(D96,A!A$1:H$767,8,FALSE)</f>
        <v>1</v>
      </c>
      <c r="J96" s="67"/>
      <c r="K96" s="68">
        <f>IF(VLOOKUP(D96,A!A$1:H$767,4,FALSE)="y",1,0)</f>
        <v>0</v>
      </c>
      <c r="L96" s="68">
        <f>IF(VLOOKUP(D96,A!A$1:H$767,5,FALSE)="y",1,0)</f>
        <v>0</v>
      </c>
      <c r="M96" s="711" t="s">
        <v>64</v>
      </c>
      <c r="N96" s="67">
        <f>VLOOKUP(D96,A!A$1:H$767,6,FALSE)</f>
        <v>0</v>
      </c>
      <c r="O96" s="93" t="s">
        <v>73</v>
      </c>
      <c r="P96" s="10">
        <f>VLOOKUP(D96,A!A$1:G$767,2,FALSE)</f>
        <v>0</v>
      </c>
      <c r="Q96" s="10" t="s">
        <v>57</v>
      </c>
      <c r="R96" s="10">
        <f t="shared" si="9"/>
        <v>0</v>
      </c>
      <c r="S96" s="10">
        <f>VLOOKUP(D96,A!A$1:AK$767,31,FALSE)</f>
        <v>35</v>
      </c>
      <c r="T96" s="10">
        <v>0.2</v>
      </c>
      <c r="U96" s="10">
        <f t="shared" si="10"/>
        <v>0</v>
      </c>
      <c r="X96" s="10"/>
    </row>
    <row r="97" spans="1:24" ht="11.25" hidden="1" customHeight="1" x14ac:dyDescent="0.25">
      <c r="A97" s="1" t="str">
        <f>IF(R97=0,"",COUNTIF(A$23:A96,"&gt;0")+1)</f>
        <v/>
      </c>
      <c r="B97" s="87"/>
      <c r="C97" s="63" t="s">
        <v>51</v>
      </c>
      <c r="D97" s="88" t="s">
        <v>1411</v>
      </c>
      <c r="E97" s="65"/>
      <c r="F97" s="65"/>
      <c r="G97" s="89" t="s">
        <v>122</v>
      </c>
      <c r="H97" s="90" t="s">
        <v>123</v>
      </c>
      <c r="I97" s="67">
        <f>VLOOKUP(D97,A!A$1:H$767,8,FALSE)</f>
        <v>1</v>
      </c>
      <c r="J97" s="67"/>
      <c r="K97" s="68">
        <f>IF(VLOOKUP(D97,A!A$1:H$767,4,FALSE)="y",1,0)</f>
        <v>1</v>
      </c>
      <c r="L97" s="68">
        <f>IF(VLOOKUP(D97,A!A$1:H$767,5,FALSE)="y",1,0)</f>
        <v>1</v>
      </c>
      <c r="M97" s="711"/>
      <c r="N97" s="67"/>
      <c r="O97" s="93">
        <v>1</v>
      </c>
      <c r="P97" s="10">
        <f>VLOOKUP(D97,A!A$1:G$767,2,FALSE)</f>
        <v>0</v>
      </c>
      <c r="Q97" s="10" t="s">
        <v>57</v>
      </c>
      <c r="R97" s="10">
        <f t="shared" si="9"/>
        <v>0</v>
      </c>
      <c r="S97" s="10">
        <f>VLOOKUP(D97,A!A$1:AK$767,31,FALSE)</f>
        <v>55</v>
      </c>
      <c r="T97" s="10">
        <v>0.2</v>
      </c>
      <c r="U97" s="10">
        <f t="shared" si="10"/>
        <v>0</v>
      </c>
      <c r="X97" s="10"/>
    </row>
    <row r="98" spans="1:24" ht="11.25" hidden="1" customHeight="1" x14ac:dyDescent="0.25">
      <c r="A98" s="1" t="str">
        <f>IF(R98=0,"",COUNTIF(A$23:A97,"&gt;0")+1)</f>
        <v/>
      </c>
      <c r="B98" s="87"/>
      <c r="C98" s="63" t="s">
        <v>51</v>
      </c>
      <c r="D98" s="88" t="s">
        <v>1444</v>
      </c>
      <c r="E98" s="65"/>
      <c r="F98" s="65"/>
      <c r="G98" s="89" t="s">
        <v>122</v>
      </c>
      <c r="H98" s="90" t="s">
        <v>1451</v>
      </c>
      <c r="I98" s="67"/>
      <c r="J98" s="67"/>
      <c r="K98" s="68">
        <f>IF(VLOOKUP(D98,A!A$1:H$767,4,FALSE)="y",1,0)</f>
        <v>1</v>
      </c>
      <c r="L98" s="68">
        <f>IF(VLOOKUP(D98,A!A$1:H$767,5,FALSE)="y",1,0)</f>
        <v>1</v>
      </c>
      <c r="M98" s="711"/>
      <c r="N98" s="67"/>
      <c r="O98" s="93">
        <v>1</v>
      </c>
      <c r="P98" s="10">
        <f>VLOOKUP(D98,A!A$1:G$767,2,FALSE)</f>
        <v>0</v>
      </c>
      <c r="Q98" s="10" t="s">
        <v>57</v>
      </c>
      <c r="R98" s="10">
        <f t="shared" ref="R98" si="11">B98</f>
        <v>0</v>
      </c>
      <c r="S98" s="10">
        <f>VLOOKUP(D98,A!A$1:AK$767,31,FALSE)</f>
        <v>55</v>
      </c>
      <c r="T98" s="10">
        <v>0.2</v>
      </c>
      <c r="U98" s="10">
        <f t="shared" ref="U98" si="12">T98*B98</f>
        <v>0</v>
      </c>
      <c r="X98" s="10"/>
    </row>
    <row r="99" spans="1:24" ht="11.25" hidden="1" customHeight="1" x14ac:dyDescent="0.25">
      <c r="A99" s="1" t="str">
        <f>IF(R99=0,"",COUNTIF(A$23:A98,"&gt;0")+1)</f>
        <v/>
      </c>
      <c r="B99" s="87"/>
      <c r="C99" s="63" t="s">
        <v>51</v>
      </c>
      <c r="D99" s="691" t="s">
        <v>1394</v>
      </c>
      <c r="E99" s="65"/>
      <c r="F99" s="65"/>
      <c r="G99" s="89" t="s">
        <v>122</v>
      </c>
      <c r="H99" s="90" t="s">
        <v>1403</v>
      </c>
      <c r="I99" s="67">
        <v>1</v>
      </c>
      <c r="J99" s="67"/>
      <c r="K99" s="68">
        <f>IF(VLOOKUP(D99,A!A$1:H$767,4,FALSE)="y",1,0)</f>
        <v>0</v>
      </c>
      <c r="L99" s="68">
        <f>IF(VLOOKUP(D99,A!A$1:H$767,5,FALSE)="y",1,0)</f>
        <v>0</v>
      </c>
      <c r="M99" s="711"/>
      <c r="N99" s="67"/>
      <c r="O99" s="93">
        <v>1</v>
      </c>
      <c r="P99" s="10">
        <f>VLOOKUP(D99,A!A$1:G$767,2,FALSE)</f>
        <v>0</v>
      </c>
      <c r="Q99" s="10" t="s">
        <v>57</v>
      </c>
      <c r="R99" s="10">
        <f>B99</f>
        <v>0</v>
      </c>
      <c r="S99" s="10">
        <v>55</v>
      </c>
      <c r="T99" s="10">
        <v>0.2</v>
      </c>
      <c r="U99" s="10">
        <f>T99*B99</f>
        <v>0</v>
      </c>
      <c r="X99" s="10"/>
    </row>
    <row r="100" spans="1:24" ht="11.25" hidden="1" customHeight="1" x14ac:dyDescent="0.25">
      <c r="A100" s="1" t="str">
        <f>IF(R100=0,"",COUNTIF(A$23:A99,"&gt;0")+1)</f>
        <v/>
      </c>
      <c r="B100" s="87"/>
      <c r="C100" s="63" t="s">
        <v>51</v>
      </c>
      <c r="D100" s="691" t="s">
        <v>1395</v>
      </c>
      <c r="E100" s="65"/>
      <c r="F100" s="65"/>
      <c r="G100" s="89" t="s">
        <v>122</v>
      </c>
      <c r="H100" s="90" t="s">
        <v>1405</v>
      </c>
      <c r="I100" s="67">
        <v>1</v>
      </c>
      <c r="J100" s="67"/>
      <c r="K100" s="68">
        <f>IF(VLOOKUP(D100,A!A$1:H$767,4,FALSE)="y",1,0)</f>
        <v>0</v>
      </c>
      <c r="L100" s="68">
        <f>IF(VLOOKUP(D100,A!A$1:H$767,5,FALSE)="y",1,0)</f>
        <v>0</v>
      </c>
      <c r="M100" s="711"/>
      <c r="N100" s="67"/>
      <c r="O100" s="93">
        <v>1</v>
      </c>
      <c r="P100" s="10">
        <f>VLOOKUP(D100,A!A$1:G$767,2,FALSE)</f>
        <v>0</v>
      </c>
      <c r="Q100" s="10" t="s">
        <v>57</v>
      </c>
      <c r="R100" s="10">
        <f>B100</f>
        <v>0</v>
      </c>
      <c r="S100" s="10">
        <v>55</v>
      </c>
      <c r="T100" s="10">
        <v>0.2</v>
      </c>
      <c r="U100" s="10">
        <f>T100*B100</f>
        <v>0</v>
      </c>
      <c r="X100" s="10"/>
    </row>
    <row r="101" spans="1:24" ht="11.25" hidden="1" customHeight="1" x14ac:dyDescent="0.25">
      <c r="A101" s="1" t="str">
        <f>IF(R101=0,"",COUNTIF(A$23:A100,"&gt;0")+1)</f>
        <v/>
      </c>
      <c r="B101" s="87"/>
      <c r="C101" s="63" t="s">
        <v>51</v>
      </c>
      <c r="D101" s="691" t="s">
        <v>1396</v>
      </c>
      <c r="E101" s="65"/>
      <c r="F101" s="65"/>
      <c r="G101" s="89" t="s">
        <v>122</v>
      </c>
      <c r="H101" s="762" t="s">
        <v>1404</v>
      </c>
      <c r="I101" s="67">
        <v>1</v>
      </c>
      <c r="J101" s="67"/>
      <c r="K101" s="68">
        <f>IF(VLOOKUP(D101,A!A$1:H$767,4,FALSE)="y",1,0)</f>
        <v>0</v>
      </c>
      <c r="L101" s="68">
        <f>IF(VLOOKUP(D101,A!A$1:H$767,5,FALSE)="y",1,0)</f>
        <v>0</v>
      </c>
      <c r="M101" s="711"/>
      <c r="N101" s="67"/>
      <c r="O101" s="93">
        <v>1</v>
      </c>
      <c r="P101" s="10">
        <f>VLOOKUP(D101,A!A$1:G$767,2,FALSE)</f>
        <v>0</v>
      </c>
      <c r="Q101" s="10" t="s">
        <v>57</v>
      </c>
      <c r="R101" s="10">
        <f>B101</f>
        <v>0</v>
      </c>
      <c r="S101" s="10">
        <v>55</v>
      </c>
      <c r="T101" s="10">
        <v>0.2</v>
      </c>
      <c r="U101" s="10">
        <f>T101*B101</f>
        <v>0</v>
      </c>
      <c r="X101" s="10"/>
    </row>
    <row r="102" spans="1:24" ht="11.25" hidden="1" customHeight="1" x14ac:dyDescent="0.25">
      <c r="A102" s="1" t="str">
        <f>IF(R102=0,"",COUNTIF(A$23:A101,"&gt;0")+1)</f>
        <v/>
      </c>
      <c r="B102" s="87"/>
      <c r="C102" s="63" t="s">
        <v>51</v>
      </c>
      <c r="D102" s="691" t="s">
        <v>1397</v>
      </c>
      <c r="E102" s="65"/>
      <c r="F102" s="65"/>
      <c r="G102" s="89" t="s">
        <v>122</v>
      </c>
      <c r="H102" s="758" t="s">
        <v>1398</v>
      </c>
      <c r="I102" s="67">
        <v>1</v>
      </c>
      <c r="J102" s="67"/>
      <c r="K102" s="68">
        <f>IF(VLOOKUP(D102,A!A$1:H$767,4,FALSE)="y",1,0)</f>
        <v>0</v>
      </c>
      <c r="L102" s="68">
        <f>IF(VLOOKUP(D102,A!A$1:H$767,5,FALSE)="y",1,0)</f>
        <v>0</v>
      </c>
      <c r="M102" s="711"/>
      <c r="N102" s="67"/>
      <c r="O102" s="93">
        <v>1</v>
      </c>
      <c r="P102" s="10">
        <f>VLOOKUP(D102,A!A$1:G$767,2,FALSE)</f>
        <v>0</v>
      </c>
      <c r="Q102" s="10" t="s">
        <v>57</v>
      </c>
      <c r="R102" s="10">
        <f>B102</f>
        <v>0</v>
      </c>
      <c r="S102" s="10">
        <v>55</v>
      </c>
      <c r="T102" s="10">
        <v>0.2</v>
      </c>
      <c r="U102" s="10">
        <f>T102*B102</f>
        <v>0</v>
      </c>
      <c r="X102" s="10"/>
    </row>
    <row r="103" spans="1:24" ht="11.25" hidden="1" customHeight="1" x14ac:dyDescent="0.25">
      <c r="A103" s="1" t="str">
        <f>IF(R103=0,"",COUNTIF(A$23:A102,"&gt;0")+1)</f>
        <v/>
      </c>
      <c r="B103" s="87"/>
      <c r="C103" s="63" t="s">
        <v>51</v>
      </c>
      <c r="D103" s="88" t="s">
        <v>124</v>
      </c>
      <c r="E103" s="65"/>
      <c r="F103" s="65"/>
      <c r="G103" s="89" t="s">
        <v>122</v>
      </c>
      <c r="H103" s="90" t="s">
        <v>125</v>
      </c>
      <c r="I103" s="67">
        <f>VLOOKUP(D103,A!A$1:H$767,8,FALSE)</f>
        <v>1</v>
      </c>
      <c r="J103" s="67"/>
      <c r="K103" s="68">
        <f>IF(VLOOKUP(D103,A!A$1:H$767,4,FALSE)="y",1,0)</f>
        <v>0</v>
      </c>
      <c r="L103" s="68">
        <f>IF(VLOOKUP(D103,A!A$1:H$767,5,FALSE)="y",1,0)</f>
        <v>0</v>
      </c>
      <c r="M103" s="711"/>
      <c r="N103" s="67">
        <f>VLOOKUP(D103,A!A$1:H$767,6,FALSE)</f>
        <v>0</v>
      </c>
      <c r="O103" s="93">
        <v>1</v>
      </c>
      <c r="P103" s="10">
        <f>VLOOKUP(D103,A!A$1:G$767,2,FALSE)</f>
        <v>0</v>
      </c>
      <c r="Q103" s="10" t="s">
        <v>57</v>
      </c>
      <c r="R103" s="10">
        <f t="shared" si="9"/>
        <v>0</v>
      </c>
      <c r="S103" s="10">
        <f>VLOOKUP(D103,A!A$1:AK$767,31,FALSE)</f>
        <v>35</v>
      </c>
      <c r="T103" s="10">
        <v>0.2</v>
      </c>
      <c r="U103" s="10">
        <f t="shared" si="10"/>
        <v>0</v>
      </c>
      <c r="X103" s="10"/>
    </row>
    <row r="104" spans="1:24" ht="11.25" hidden="1" customHeight="1" x14ac:dyDescent="0.25">
      <c r="A104" s="1" t="str">
        <f>IF(R104=0,"",COUNTIF(A$23:A103,"&gt;0")+1)</f>
        <v/>
      </c>
      <c r="B104" s="87"/>
      <c r="C104" s="63" t="s">
        <v>51</v>
      </c>
      <c r="D104" s="88" t="s">
        <v>126</v>
      </c>
      <c r="E104" s="65"/>
      <c r="F104" s="65"/>
      <c r="G104" s="89" t="s">
        <v>122</v>
      </c>
      <c r="H104" s="90" t="s">
        <v>127</v>
      </c>
      <c r="I104" s="67">
        <f>VLOOKUP(D104,A!A$1:H$767,8,FALSE)</f>
        <v>1</v>
      </c>
      <c r="J104" s="67"/>
      <c r="K104" s="68">
        <f>IF(VLOOKUP(D104,A!A$1:H$767,4,FALSE)="y",1,0)</f>
        <v>0</v>
      </c>
      <c r="L104" s="68">
        <f>IF(VLOOKUP(D104,A!A$1:H$767,5,FALSE)="y",1,0)</f>
        <v>0</v>
      </c>
      <c r="M104" s="711"/>
      <c r="N104" s="67">
        <f>VLOOKUP(D104,A!A$1:H$767,6,FALSE)</f>
        <v>0</v>
      </c>
      <c r="O104" s="93">
        <v>1</v>
      </c>
      <c r="P104" s="10">
        <f>VLOOKUP(D104,A!A$1:G$767,2,FALSE)</f>
        <v>0</v>
      </c>
      <c r="Q104" s="10" t="s">
        <v>57</v>
      </c>
      <c r="R104" s="10">
        <f t="shared" si="9"/>
        <v>0</v>
      </c>
      <c r="S104" s="10">
        <f>VLOOKUP(D104,A!A$1:AK$767,31,FALSE)</f>
        <v>35</v>
      </c>
      <c r="T104" s="10">
        <v>0.2</v>
      </c>
      <c r="U104" s="10">
        <f t="shared" si="10"/>
        <v>0</v>
      </c>
      <c r="X104" s="10"/>
    </row>
    <row r="105" spans="1:24" ht="11.25" hidden="1" customHeight="1" x14ac:dyDescent="0.25">
      <c r="A105" s="1" t="str">
        <f>IF(R105=0,"",COUNTIF(A$23:A104,"&gt;0")+1)</f>
        <v/>
      </c>
      <c r="B105" s="87"/>
      <c r="C105" s="63" t="s">
        <v>51</v>
      </c>
      <c r="D105" s="88" t="s">
        <v>128</v>
      </c>
      <c r="E105" s="65"/>
      <c r="F105" s="65"/>
      <c r="G105" s="89" t="s">
        <v>129</v>
      </c>
      <c r="H105" s="90" t="s">
        <v>130</v>
      </c>
      <c r="I105" s="67">
        <f>VLOOKUP(D105,A!A$1:H$767,8,FALSE)</f>
        <v>3</v>
      </c>
      <c r="J105" s="67"/>
      <c r="K105" s="68">
        <f>IF(VLOOKUP(D105,A!A$1:H$767,4,FALSE)="y",1,0)</f>
        <v>0</v>
      </c>
      <c r="L105" s="68">
        <f>IF(VLOOKUP(D105,A!A$1:H$767,5,FALSE)="y",1,0)</f>
        <v>0</v>
      </c>
      <c r="M105" s="711"/>
      <c r="N105" s="67">
        <f>VLOOKUP(D105,A!A$1:H$767,6,FALSE)</f>
        <v>0</v>
      </c>
      <c r="O105" s="93">
        <v>1</v>
      </c>
      <c r="P105" s="10">
        <f>VLOOKUP(D105,A!A$1:G$767,2,FALSE)</f>
        <v>0</v>
      </c>
      <c r="Q105" s="10" t="s">
        <v>57</v>
      </c>
      <c r="R105" s="10">
        <f t="shared" si="9"/>
        <v>0</v>
      </c>
      <c r="S105" s="10">
        <f>VLOOKUP(D105,A!A$1:AK$767,31,FALSE)</f>
        <v>25</v>
      </c>
      <c r="T105" s="10">
        <v>0.2</v>
      </c>
      <c r="U105" s="10">
        <f t="shared" si="10"/>
        <v>0</v>
      </c>
      <c r="X105" s="10"/>
    </row>
    <row r="106" spans="1:24" ht="11.25" hidden="1" customHeight="1" x14ac:dyDescent="0.25">
      <c r="A106" s="1" t="str">
        <f>IF(R106=0,"",COUNTIF(A$23:A105,"&gt;0")+1)</f>
        <v/>
      </c>
      <c r="B106" s="87"/>
      <c r="C106" s="63" t="s">
        <v>51</v>
      </c>
      <c r="D106" s="691" t="s">
        <v>719</v>
      </c>
      <c r="E106" s="65"/>
      <c r="F106" s="65"/>
      <c r="G106" s="89" t="s">
        <v>720</v>
      </c>
      <c r="H106" s="90" t="s">
        <v>1307</v>
      </c>
      <c r="I106" s="67">
        <v>2</v>
      </c>
      <c r="J106" s="67"/>
      <c r="K106" s="68">
        <f>IF(VLOOKUP(D106,A!A$1:H$767,4,FALSE)="y",1,0)</f>
        <v>0</v>
      </c>
      <c r="L106" s="68">
        <f>IF(VLOOKUP(D106,A!A$1:H$767,5,FALSE)="y",1,0)</f>
        <v>0</v>
      </c>
      <c r="M106" s="711"/>
      <c r="N106" s="67"/>
      <c r="O106" s="93" t="s">
        <v>73</v>
      </c>
      <c r="P106" s="10">
        <f>VLOOKUP(D106,A!A$1:G$767,2,FALSE)</f>
        <v>0</v>
      </c>
      <c r="Q106" s="10" t="s">
        <v>57</v>
      </c>
      <c r="R106" s="10">
        <f t="shared" si="9"/>
        <v>0</v>
      </c>
      <c r="S106" s="10">
        <f>VLOOKUP(D106,A!A$1:AK$767,31,FALSE)</f>
        <v>55</v>
      </c>
      <c r="T106" s="10">
        <v>0.2</v>
      </c>
      <c r="U106" s="10">
        <f t="shared" si="10"/>
        <v>0</v>
      </c>
      <c r="X106" s="10"/>
    </row>
    <row r="107" spans="1:24" ht="11.25" hidden="1" customHeight="1" x14ac:dyDescent="0.25">
      <c r="A107" s="1" t="str">
        <f>IF(R107=0,"",COUNTIF(A$23:A106,"&gt;0")+1)</f>
        <v/>
      </c>
      <c r="B107" s="87"/>
      <c r="C107" s="63" t="s">
        <v>51</v>
      </c>
      <c r="D107" s="88" t="s">
        <v>131</v>
      </c>
      <c r="E107" s="65"/>
      <c r="F107" s="65"/>
      <c r="G107" s="89" t="s">
        <v>132</v>
      </c>
      <c r="H107" s="90" t="s">
        <v>133</v>
      </c>
      <c r="I107" s="67">
        <f>VLOOKUP(D107,A!A$1:H$767,8,FALSE)</f>
        <v>2</v>
      </c>
      <c r="J107" s="67"/>
      <c r="K107" s="68">
        <f>IF(VLOOKUP(D107,A!A$1:H$767,4,FALSE)="y",1,0)</f>
        <v>0</v>
      </c>
      <c r="L107" s="68">
        <f>IF(VLOOKUP(D107,A!A$1:H$767,5,FALSE)="y",1,0)</f>
        <v>0</v>
      </c>
      <c r="M107" s="711"/>
      <c r="N107" s="67">
        <f>VLOOKUP(D107,A!A$1:H$767,6,FALSE)</f>
        <v>0</v>
      </c>
      <c r="O107" s="93" t="s">
        <v>73</v>
      </c>
      <c r="P107" s="10">
        <f>VLOOKUP(D107,A!A$1:G$767,2,FALSE)</f>
        <v>0</v>
      </c>
      <c r="Q107" s="10" t="s">
        <v>57</v>
      </c>
      <c r="R107" s="10">
        <f t="shared" si="9"/>
        <v>0</v>
      </c>
      <c r="S107" s="10" t="str">
        <f>VLOOKUP(D107,A!A$1:AK$767,31,FALSE)</f>
        <v/>
      </c>
      <c r="T107" s="10">
        <v>0.2</v>
      </c>
      <c r="U107" s="10">
        <f t="shared" si="10"/>
        <v>0</v>
      </c>
      <c r="X107" s="10"/>
    </row>
    <row r="108" spans="1:24" ht="11.25" customHeight="1" x14ac:dyDescent="0.25">
      <c r="A108" s="1" t="str">
        <f>IF(R108=0,"",COUNTIF(A$23:A107,"&gt;0")+1)</f>
        <v/>
      </c>
      <c r="B108" s="87"/>
      <c r="C108" s="63" t="s">
        <v>51</v>
      </c>
      <c r="D108" s="527" t="s">
        <v>722</v>
      </c>
      <c r="E108" s="65"/>
      <c r="F108" s="65"/>
      <c r="G108" s="89" t="s">
        <v>1492</v>
      </c>
      <c r="H108" s="90" t="s">
        <v>724</v>
      </c>
      <c r="I108" s="67">
        <v>2</v>
      </c>
      <c r="J108" s="67"/>
      <c r="K108" s="68">
        <f>IF(VLOOKUP(D108,A!A$1:H$767,4,FALSE)="y",1,0)</f>
        <v>1</v>
      </c>
      <c r="L108" s="68"/>
      <c r="M108" s="711"/>
      <c r="N108" s="67"/>
      <c r="O108" s="93" t="s">
        <v>73</v>
      </c>
      <c r="P108" s="10" t="str">
        <f>VLOOKUP(D108,A!A$1:G$767,2,FALSE)</f>
        <v>y</v>
      </c>
      <c r="Q108" s="10" t="s">
        <v>57</v>
      </c>
      <c r="R108" s="10">
        <f>B108</f>
        <v>0</v>
      </c>
      <c r="S108" s="10">
        <v>35</v>
      </c>
      <c r="T108" s="10">
        <v>0.2</v>
      </c>
      <c r="U108" s="10">
        <f>T108*B108</f>
        <v>0</v>
      </c>
      <c r="X108" s="10"/>
    </row>
    <row r="109" spans="1:24" ht="11.25" customHeight="1" x14ac:dyDescent="0.25">
      <c r="A109" s="1" t="str">
        <f>IF(R109=0,"",COUNTIF(A$23:A108,"&gt;0")+1)</f>
        <v/>
      </c>
      <c r="B109" s="87"/>
      <c r="C109" s="63" t="s">
        <v>51</v>
      </c>
      <c r="D109" s="88" t="s">
        <v>725</v>
      </c>
      <c r="E109" s="65"/>
      <c r="F109" s="65"/>
      <c r="G109" s="89" t="s">
        <v>135</v>
      </c>
      <c r="H109" s="90" t="s">
        <v>136</v>
      </c>
      <c r="I109" s="67">
        <f>VLOOKUP(D109,A!A$1:H$767,8,FALSE)</f>
        <v>3</v>
      </c>
      <c r="J109" s="67" t="s">
        <v>63</v>
      </c>
      <c r="K109" s="68">
        <f>IF(VLOOKUP(D109,A!A$1:H$767,4,FALSE)="y",1,0)</f>
        <v>1</v>
      </c>
      <c r="L109" s="68">
        <f>IF(VLOOKUP(D109,A!A$1:H$767,5,FALSE)="y",1,0)</f>
        <v>0</v>
      </c>
      <c r="M109" s="711"/>
      <c r="N109" s="67">
        <f>VLOOKUP(D109,A!A$1:H$767,6,FALSE)</f>
        <v>0</v>
      </c>
      <c r="O109" s="93" t="s">
        <v>73</v>
      </c>
      <c r="P109" s="10" t="str">
        <f>VLOOKUP(D109,A!A$1:G$767,2,FALSE)</f>
        <v>y</v>
      </c>
      <c r="Q109" s="10" t="s">
        <v>57</v>
      </c>
      <c r="R109" s="10">
        <f t="shared" si="9"/>
        <v>0</v>
      </c>
      <c r="S109" s="10">
        <f>VLOOKUP(D109,A!A$1:AK$767,31,FALSE)</f>
        <v>25</v>
      </c>
      <c r="T109" s="10">
        <v>0.2</v>
      </c>
      <c r="U109" s="10">
        <f t="shared" si="10"/>
        <v>0</v>
      </c>
      <c r="X109" s="10"/>
    </row>
    <row r="110" spans="1:24" ht="11.25" hidden="1" customHeight="1" x14ac:dyDescent="0.25">
      <c r="A110" s="1" t="str">
        <f>IF(R110=0,"",COUNTIF(A$23:A109,"&gt;0")+1)</f>
        <v/>
      </c>
      <c r="B110" s="87"/>
      <c r="C110" s="63" t="s">
        <v>51</v>
      </c>
      <c r="D110" s="88" t="s">
        <v>137</v>
      </c>
      <c r="E110" s="65"/>
      <c r="F110" s="65"/>
      <c r="G110" s="89" t="s">
        <v>138</v>
      </c>
      <c r="H110" s="90" t="s">
        <v>139</v>
      </c>
      <c r="I110" s="67">
        <f>VLOOKUP(D110,A!A$1:H$767,8,FALSE)</f>
        <v>3</v>
      </c>
      <c r="J110" s="67" t="s">
        <v>63</v>
      </c>
      <c r="K110" s="68">
        <f>IF(VLOOKUP(D110,A!A$1:H$767,4,FALSE)="y",1,0)</f>
        <v>0</v>
      </c>
      <c r="L110" s="68">
        <f>IF(VLOOKUP(D110,A!A$1:H$767,5,FALSE)="y",1,0)</f>
        <v>0</v>
      </c>
      <c r="M110" s="711"/>
      <c r="N110" s="67">
        <f>VLOOKUP(D110,A!A$1:H$767,6,FALSE)</f>
        <v>0</v>
      </c>
      <c r="O110" s="93" t="s">
        <v>73</v>
      </c>
      <c r="P110" s="10">
        <f>VLOOKUP(D110,A!A$1:G$767,2,FALSE)</f>
        <v>0</v>
      </c>
      <c r="Q110" s="10" t="s">
        <v>57</v>
      </c>
      <c r="R110" s="10">
        <f t="shared" si="9"/>
        <v>0</v>
      </c>
      <c r="S110" s="10">
        <f>VLOOKUP(D110,A!A$1:AK$767,31,FALSE)</f>
        <v>35</v>
      </c>
      <c r="T110" s="10">
        <v>0.2</v>
      </c>
      <c r="U110" s="10">
        <f t="shared" si="10"/>
        <v>0</v>
      </c>
      <c r="X110" s="10"/>
    </row>
    <row r="111" spans="1:24" ht="11.25" hidden="1" customHeight="1" x14ac:dyDescent="0.25">
      <c r="A111" s="1" t="str">
        <f>IF(R111=0,"",COUNTIF(A$23:A110,"&gt;0")+1)</f>
        <v/>
      </c>
      <c r="B111" s="87"/>
      <c r="C111" s="63" t="s">
        <v>51</v>
      </c>
      <c r="D111" s="88" t="s">
        <v>140</v>
      </c>
      <c r="E111" s="65"/>
      <c r="F111" s="65"/>
      <c r="G111" s="89" t="s">
        <v>141</v>
      </c>
      <c r="H111" s="90" t="s">
        <v>142</v>
      </c>
      <c r="I111" s="67">
        <f>VLOOKUP(D111,A!A$1:H$767,8,FALSE)</f>
        <v>3</v>
      </c>
      <c r="J111" s="67" t="s">
        <v>63</v>
      </c>
      <c r="K111" s="68">
        <f>IF(VLOOKUP(D111,A!A$1:H$767,4,FALSE)="y",1,0)</f>
        <v>0</v>
      </c>
      <c r="L111" s="68">
        <f>IF(VLOOKUP(D111,A!A$1:H$767,5,FALSE)="y",1,0)</f>
        <v>0</v>
      </c>
      <c r="M111" s="711"/>
      <c r="N111" s="67">
        <f>VLOOKUP(D111,A!A$1:H$767,6,FALSE)</f>
        <v>0</v>
      </c>
      <c r="O111" s="93" t="s">
        <v>73</v>
      </c>
      <c r="P111" s="10">
        <f>VLOOKUP(D111,A!A$1:G$767,2,FALSE)</f>
        <v>0</v>
      </c>
      <c r="Q111" s="10" t="s">
        <v>57</v>
      </c>
      <c r="R111" s="10">
        <f t="shared" si="9"/>
        <v>0</v>
      </c>
      <c r="S111" s="10">
        <f>VLOOKUP(D111,A!A$1:AK$767,31,FALSE)</f>
        <v>25</v>
      </c>
      <c r="T111" s="10">
        <v>0.2</v>
      </c>
      <c r="U111" s="10">
        <f t="shared" si="10"/>
        <v>0</v>
      </c>
      <c r="X111" s="10"/>
    </row>
    <row r="112" spans="1:24" ht="11.25" hidden="1" customHeight="1" x14ac:dyDescent="0.25">
      <c r="A112" s="1" t="str">
        <f>IF(R112=0,"",COUNTIF(A$23:A111,"&gt;0")+1)</f>
        <v/>
      </c>
      <c r="B112" s="87"/>
      <c r="C112" s="63" t="s">
        <v>51</v>
      </c>
      <c r="D112" s="88" t="s">
        <v>143</v>
      </c>
      <c r="E112" s="65"/>
      <c r="F112" s="65"/>
      <c r="G112" s="89" t="s">
        <v>144</v>
      </c>
      <c r="H112" s="90" t="s">
        <v>145</v>
      </c>
      <c r="I112" s="67">
        <f>VLOOKUP(D112,A!A$1:H$767,8,FALSE)</f>
        <v>1</v>
      </c>
      <c r="J112" s="67"/>
      <c r="K112" s="68">
        <f>IF(VLOOKUP(D112,A!A$1:H$767,4,FALSE)="y",1,0)</f>
        <v>0</v>
      </c>
      <c r="L112" s="68">
        <f>IF(VLOOKUP(D112,A!A$1:H$767,5,FALSE)="y",1,0)</f>
        <v>0</v>
      </c>
      <c r="M112" s="711"/>
      <c r="N112" s="67">
        <f>VLOOKUP(D112,A!A$1:H$767,6,FALSE)</f>
        <v>0</v>
      </c>
      <c r="O112" s="93" t="s">
        <v>73</v>
      </c>
      <c r="P112" s="10">
        <f>VLOOKUP(D112,A!A$1:G$767,2,FALSE)</f>
        <v>0</v>
      </c>
      <c r="Q112" s="10" t="s">
        <v>57</v>
      </c>
      <c r="R112" s="10">
        <f t="shared" si="9"/>
        <v>0</v>
      </c>
      <c r="S112" s="10">
        <f>VLOOKUP(D112,A!A$1:AK$767,31,FALSE)</f>
        <v>25</v>
      </c>
      <c r="T112" s="10">
        <v>0.2</v>
      </c>
      <c r="U112" s="10">
        <f t="shared" si="10"/>
        <v>0</v>
      </c>
      <c r="X112" s="10"/>
    </row>
    <row r="113" spans="1:24" ht="11.25" customHeight="1" x14ac:dyDescent="0.25">
      <c r="A113" s="1" t="str">
        <f>IF(R113=0,"",COUNTIF(A$23:A112,"&gt;0")+1)</f>
        <v/>
      </c>
      <c r="B113" s="87"/>
      <c r="C113" s="63" t="s">
        <v>51</v>
      </c>
      <c r="D113" s="88" t="s">
        <v>146</v>
      </c>
      <c r="E113" s="65"/>
      <c r="F113" s="65"/>
      <c r="G113" s="89" t="s">
        <v>147</v>
      </c>
      <c r="H113" s="90" t="s">
        <v>148</v>
      </c>
      <c r="I113" s="67">
        <f>VLOOKUP(D113,A!A$1:H$767,8,FALSE)</f>
        <v>2</v>
      </c>
      <c r="J113" s="67"/>
      <c r="K113" s="68">
        <f>IF(VLOOKUP(D113,A!A$1:H$767,4,FALSE)="y",1,0)</f>
        <v>1</v>
      </c>
      <c r="L113" s="68">
        <f>IF(VLOOKUP(D113,A!A$1:H$767,5,FALSE)="y",1,0)</f>
        <v>0</v>
      </c>
      <c r="M113" s="711"/>
      <c r="N113" s="67" t="str">
        <f>VLOOKUP(D113,A!A$1:H$767,6,FALSE)</f>
        <v>y</v>
      </c>
      <c r="O113" s="93" t="s">
        <v>65</v>
      </c>
      <c r="P113" s="10" t="str">
        <f>VLOOKUP(D113,A!A$1:G$767,2,FALSE)</f>
        <v>y</v>
      </c>
      <c r="Q113" s="10" t="s">
        <v>57</v>
      </c>
      <c r="R113" s="10">
        <f t="shared" si="9"/>
        <v>0</v>
      </c>
      <c r="S113" s="10">
        <v>55</v>
      </c>
      <c r="T113" s="10">
        <v>0.2</v>
      </c>
      <c r="U113" s="10">
        <f t="shared" si="10"/>
        <v>0</v>
      </c>
      <c r="X113" s="10"/>
    </row>
    <row r="114" spans="1:24" ht="11.25" hidden="1" customHeight="1" x14ac:dyDescent="0.25">
      <c r="A114" s="1" t="str">
        <f>IF(R114=0,"",COUNTIF(A$23:A113,"&gt;0")+1)</f>
        <v/>
      </c>
      <c r="B114" s="87"/>
      <c r="C114" s="63" t="s">
        <v>51</v>
      </c>
      <c r="D114" s="88" t="s">
        <v>149</v>
      </c>
      <c r="E114" s="65"/>
      <c r="F114" s="65"/>
      <c r="G114" s="89" t="s">
        <v>150</v>
      </c>
      <c r="H114" s="90" t="s">
        <v>151</v>
      </c>
      <c r="I114" s="67">
        <f>VLOOKUP(D114,A!A$1:H$767,8,FALSE)</f>
        <v>2</v>
      </c>
      <c r="J114" s="67"/>
      <c r="K114" s="68">
        <f>IF(VLOOKUP(D114,A!A$1:H$767,4,FALSE)="y",1,0)</f>
        <v>0</v>
      </c>
      <c r="L114" s="68">
        <f>IF(VLOOKUP(D114,A!A$1:H$767,5,FALSE)="y",1,0)</f>
        <v>0</v>
      </c>
      <c r="M114" s="711"/>
      <c r="N114" s="67">
        <f>VLOOKUP(D114,A!A$1:H$767,6,FALSE)</f>
        <v>0</v>
      </c>
      <c r="O114" s="93" t="s">
        <v>65</v>
      </c>
      <c r="P114" s="10">
        <f>VLOOKUP(D114,A!A$1:G$767,2,FALSE)</f>
        <v>0</v>
      </c>
      <c r="Q114" s="10" t="s">
        <v>57</v>
      </c>
      <c r="R114" s="10">
        <f t="shared" si="9"/>
        <v>0</v>
      </c>
      <c r="S114" s="10">
        <f>VLOOKUP(D114,A!A$1:AK$767,31,FALSE)</f>
        <v>55</v>
      </c>
      <c r="T114" s="10">
        <v>0.2</v>
      </c>
      <c r="U114" s="10">
        <f t="shared" si="10"/>
        <v>0</v>
      </c>
      <c r="X114" s="10"/>
    </row>
    <row r="115" spans="1:24" ht="11.25" hidden="1" customHeight="1" x14ac:dyDescent="0.25">
      <c r="A115" s="1" t="str">
        <f>IF(R115=0,"",COUNTIF(A$23:A114,"&gt;0")+1)</f>
        <v/>
      </c>
      <c r="B115" s="87"/>
      <c r="C115" s="63" t="s">
        <v>51</v>
      </c>
      <c r="D115" s="64" t="s">
        <v>1476</v>
      </c>
      <c r="E115" s="65"/>
      <c r="F115" s="65"/>
      <c r="G115" s="89" t="s">
        <v>1377</v>
      </c>
      <c r="H115" s="90" t="s">
        <v>1378</v>
      </c>
      <c r="I115" s="67">
        <v>2</v>
      </c>
      <c r="J115" s="67"/>
      <c r="K115" s="68">
        <f>IF(VLOOKUP(D115,A!A$1:H$767,4,FALSE)="y",1,0)</f>
        <v>0</v>
      </c>
      <c r="L115" s="68">
        <f>IF(VLOOKUP(D115,A!A$1:H$767,5,FALSE)="y",1,0)</f>
        <v>0</v>
      </c>
      <c r="M115" s="711"/>
      <c r="N115" s="67"/>
      <c r="O115" s="93" t="s">
        <v>73</v>
      </c>
      <c r="P115" s="10">
        <f>VLOOKUP(D115,A!A$1:G$767,2,FALSE)</f>
        <v>0</v>
      </c>
      <c r="Q115" s="10" t="s">
        <v>57</v>
      </c>
      <c r="R115" s="10">
        <f t="shared" si="9"/>
        <v>0</v>
      </c>
      <c r="S115" s="10">
        <f>VLOOKUP(D115,A!A$1:AK$767,31,FALSE)</f>
        <v>55</v>
      </c>
      <c r="T115" s="10">
        <v>0.2</v>
      </c>
      <c r="U115" s="10">
        <f t="shared" si="10"/>
        <v>0</v>
      </c>
      <c r="X115" s="10"/>
    </row>
    <row r="116" spans="1:24" ht="11.25" hidden="1" customHeight="1" x14ac:dyDescent="0.25">
      <c r="A116" s="1" t="str">
        <f>IF(R116=0,"",COUNTIF(A$23:A115,"&gt;0")+1)</f>
        <v/>
      </c>
      <c r="B116" s="87"/>
      <c r="C116" s="63" t="s">
        <v>51</v>
      </c>
      <c r="D116" s="88" t="s">
        <v>152</v>
      </c>
      <c r="E116" s="65"/>
      <c r="F116" s="65"/>
      <c r="G116" s="89" t="s">
        <v>153</v>
      </c>
      <c r="H116" s="90" t="s">
        <v>154</v>
      </c>
      <c r="I116" s="67">
        <f>VLOOKUP(D116,A!A$1:H$767,8,FALSE)</f>
        <v>2</v>
      </c>
      <c r="J116" s="67" t="s">
        <v>63</v>
      </c>
      <c r="K116" s="68">
        <f>IF(VLOOKUP(D116,A!A$1:H$767,4,FALSE)="y",1,0)</f>
        <v>0</v>
      </c>
      <c r="L116" s="68">
        <f>IF(VLOOKUP(D116,A!A$1:H$767,5,FALSE)="y",1,0)</f>
        <v>0</v>
      </c>
      <c r="M116" s="711"/>
      <c r="N116" s="67">
        <f>VLOOKUP(D116,A!A$1:H$767,6,FALSE)</f>
        <v>0</v>
      </c>
      <c r="O116" s="93" t="s">
        <v>65</v>
      </c>
      <c r="P116" s="10">
        <f>VLOOKUP(D116,A!A$1:G$767,2,FALSE)</f>
        <v>0</v>
      </c>
      <c r="Q116" s="10" t="s">
        <v>57</v>
      </c>
      <c r="R116" s="10">
        <f t="shared" ref="R116:R148" si="13">B116</f>
        <v>0</v>
      </c>
      <c r="S116" s="10">
        <v>55</v>
      </c>
      <c r="T116" s="10">
        <v>0.2</v>
      </c>
      <c r="U116" s="10">
        <f t="shared" ref="U116:U148" si="14">T116*B116</f>
        <v>0</v>
      </c>
      <c r="X116" s="10"/>
    </row>
    <row r="117" spans="1:24" ht="11.25" customHeight="1" x14ac:dyDescent="0.25">
      <c r="A117" s="1" t="str">
        <f>IF(R117=0,"",COUNTIF(A$23:A116,"&gt;0")+1)</f>
        <v/>
      </c>
      <c r="B117" s="87"/>
      <c r="C117" s="63" t="s">
        <v>51</v>
      </c>
      <c r="D117" s="88" t="s">
        <v>155</v>
      </c>
      <c r="E117" s="65"/>
      <c r="F117" s="65"/>
      <c r="G117" s="89" t="s">
        <v>156</v>
      </c>
      <c r="H117" s="90" t="s">
        <v>157</v>
      </c>
      <c r="I117" s="67">
        <f>VLOOKUP(D117,A!A$1:H$767,8,FALSE)</f>
        <v>1</v>
      </c>
      <c r="J117" s="67"/>
      <c r="K117" s="68">
        <f>IF(VLOOKUP(D117,A!A$1:H$767,4,FALSE)="y",1,0)</f>
        <v>1</v>
      </c>
      <c r="L117" s="68">
        <f>IF(VLOOKUP(D117,A!A$1:H$767,5,FALSE)="y",1,0)</f>
        <v>1</v>
      </c>
      <c r="M117" s="711"/>
      <c r="N117" s="67" t="str">
        <f>VLOOKUP(D117,A!A$1:H$767,6,FALSE)</f>
        <v>y</v>
      </c>
      <c r="O117" s="93" t="s">
        <v>65</v>
      </c>
      <c r="P117" s="10" t="str">
        <f>VLOOKUP(D117,A!A$1:G$767,2,FALSE)</f>
        <v>y</v>
      </c>
      <c r="Q117" s="10" t="s">
        <v>57</v>
      </c>
      <c r="R117" s="10">
        <f t="shared" si="13"/>
        <v>0</v>
      </c>
      <c r="S117" s="10">
        <f>VLOOKUP(D117,A!A$1:AK$767,31,FALSE)</f>
        <v>55</v>
      </c>
      <c r="T117" s="10">
        <v>0.2</v>
      </c>
      <c r="U117" s="10">
        <f t="shared" si="14"/>
        <v>0</v>
      </c>
      <c r="X117" s="10"/>
    </row>
    <row r="118" spans="1:24" ht="11.25" hidden="1" customHeight="1" x14ac:dyDescent="0.25">
      <c r="A118" s="1" t="str">
        <f>IF(R118=0,"",COUNTIF(A$23:A117,"&gt;0")+1)</f>
        <v/>
      </c>
      <c r="B118" s="87"/>
      <c r="C118" s="63" t="s">
        <v>51</v>
      </c>
      <c r="D118" s="88" t="s">
        <v>158</v>
      </c>
      <c r="E118" s="65"/>
      <c r="F118" s="65"/>
      <c r="G118" s="89" t="s">
        <v>159</v>
      </c>
      <c r="H118" s="90" t="s">
        <v>160</v>
      </c>
      <c r="I118" s="67">
        <f>VLOOKUP(D118,A!A$1:H$767,8,FALSE)</f>
        <v>2</v>
      </c>
      <c r="J118" s="67"/>
      <c r="K118" s="68">
        <f>IF(VLOOKUP(D118,A!A$1:H$767,4,FALSE)="y",1,0)</f>
        <v>0</v>
      </c>
      <c r="L118" s="68">
        <f>IF(VLOOKUP(D118,A!A$1:H$767,5,FALSE)="y",1,0)</f>
        <v>0</v>
      </c>
      <c r="M118" s="711"/>
      <c r="N118" s="67">
        <f>VLOOKUP(D118,A!A$1:H$767,6,FALSE)</f>
        <v>0</v>
      </c>
      <c r="O118" s="93">
        <v>1</v>
      </c>
      <c r="P118" s="10">
        <f>VLOOKUP(D118,A!A$1:G$767,2,FALSE)</f>
        <v>0</v>
      </c>
      <c r="Q118" s="10" t="s">
        <v>57</v>
      </c>
      <c r="R118" s="10">
        <f t="shared" si="13"/>
        <v>0</v>
      </c>
      <c r="S118" s="10">
        <f>VLOOKUP(D118,A!A$1:AK$767,31,FALSE)</f>
        <v>25</v>
      </c>
      <c r="T118" s="10">
        <v>0.2</v>
      </c>
      <c r="U118" s="10">
        <f t="shared" si="14"/>
        <v>0</v>
      </c>
      <c r="X118" s="10"/>
    </row>
    <row r="119" spans="1:24" ht="11.25" customHeight="1" x14ac:dyDescent="0.25">
      <c r="A119" s="1" t="str">
        <f>IF(R119=0,"",COUNTIF(A$23:A118,"&gt;0")+1)</f>
        <v/>
      </c>
      <c r="B119" s="87"/>
      <c r="C119" s="63" t="s">
        <v>51</v>
      </c>
      <c r="D119" s="88" t="s">
        <v>161</v>
      </c>
      <c r="E119" s="65"/>
      <c r="F119" s="65"/>
      <c r="G119" s="89" t="s">
        <v>162</v>
      </c>
      <c r="H119" s="90" t="s">
        <v>163</v>
      </c>
      <c r="I119" s="67">
        <f>VLOOKUP(D119,A!A$1:H$767,8,FALSE)</f>
        <v>1</v>
      </c>
      <c r="J119" s="67"/>
      <c r="K119" s="68">
        <f>IF(VLOOKUP(D119,A!A$1:H$767,4,FALSE)="y",1,0)</f>
        <v>1</v>
      </c>
      <c r="L119" s="68">
        <f>IF(VLOOKUP(D119,A!A$1:H$767,5,FALSE)="y",1,0)</f>
        <v>0</v>
      </c>
      <c r="M119" s="711"/>
      <c r="N119" s="67">
        <f>VLOOKUP(D119,A!A$1:H$767,6,FALSE)</f>
        <v>0</v>
      </c>
      <c r="O119" s="93" t="s">
        <v>55</v>
      </c>
      <c r="P119" s="10" t="str">
        <f>VLOOKUP(D119,A!A$1:G$767,2,FALSE)</f>
        <v>y</v>
      </c>
      <c r="Q119" s="10" t="s">
        <v>57</v>
      </c>
      <c r="R119" s="10">
        <f t="shared" si="13"/>
        <v>0</v>
      </c>
      <c r="S119" s="10">
        <f>VLOOKUP(D119,A!A$1:AK$767,31,FALSE)</f>
        <v>55</v>
      </c>
      <c r="T119" s="10">
        <v>0.2</v>
      </c>
      <c r="U119" s="10">
        <f t="shared" si="14"/>
        <v>0</v>
      </c>
      <c r="X119" s="10"/>
    </row>
    <row r="120" spans="1:24" ht="11.25" hidden="1" customHeight="1" x14ac:dyDescent="0.25">
      <c r="A120" s="1" t="str">
        <f>IF(R120=0,"",COUNTIF(A$23:A119,"&gt;0")+1)</f>
        <v/>
      </c>
      <c r="B120" s="87"/>
      <c r="C120" s="63" t="s">
        <v>51</v>
      </c>
      <c r="D120" s="88" t="s">
        <v>164</v>
      </c>
      <c r="E120" s="65"/>
      <c r="F120" s="65"/>
      <c r="G120" s="89" t="s">
        <v>165</v>
      </c>
      <c r="H120" s="90" t="s">
        <v>166</v>
      </c>
      <c r="I120" s="67">
        <f>VLOOKUP(D120,A!A$1:H$767,8,FALSE)</f>
        <v>2</v>
      </c>
      <c r="J120" s="67"/>
      <c r="K120" s="68">
        <f>IF(VLOOKUP(D120,A!A$1:H$767,4,FALSE)="y",1,0)</f>
        <v>0</v>
      </c>
      <c r="L120" s="68">
        <f>IF(VLOOKUP(D120,A!A$1:H$767,5,FALSE)="y",1,0)</f>
        <v>0</v>
      </c>
      <c r="M120" s="711"/>
      <c r="N120" s="67">
        <f>VLOOKUP(D120,A!A$1:H$767,6,FALSE)</f>
        <v>0</v>
      </c>
      <c r="O120" s="93" t="s">
        <v>55</v>
      </c>
      <c r="P120" s="10">
        <f>VLOOKUP(D120,A!A$1:G$767,2,FALSE)</f>
        <v>0</v>
      </c>
      <c r="Q120" s="10" t="s">
        <v>57</v>
      </c>
      <c r="R120" s="10">
        <f t="shared" si="13"/>
        <v>0</v>
      </c>
      <c r="S120" s="10" t="str">
        <f>VLOOKUP(D120,A!A$1:AK$767,31,FALSE)</f>
        <v/>
      </c>
      <c r="T120" s="10">
        <v>0.2</v>
      </c>
      <c r="U120" s="10">
        <f t="shared" si="14"/>
        <v>0</v>
      </c>
      <c r="X120" s="10"/>
    </row>
    <row r="121" spans="1:24" ht="11.25" hidden="1" customHeight="1" x14ac:dyDescent="0.25">
      <c r="A121" s="1" t="str">
        <f>IF(R121=0,"",COUNTIF(A$23:A120,"&gt;0")+1)</f>
        <v/>
      </c>
      <c r="B121" s="87"/>
      <c r="C121" s="63" t="s">
        <v>51</v>
      </c>
      <c r="D121" s="88" t="s">
        <v>167</v>
      </c>
      <c r="E121" s="65"/>
      <c r="F121" s="65"/>
      <c r="G121" s="89" t="s">
        <v>168</v>
      </c>
      <c r="H121" s="90" t="s">
        <v>169</v>
      </c>
      <c r="I121" s="67">
        <f>VLOOKUP(D121,A!A$1:H$767,8,FALSE)</f>
        <v>2</v>
      </c>
      <c r="J121" s="67"/>
      <c r="K121" s="68">
        <f>IF(VLOOKUP(D121,A!A$1:H$767,4,FALSE)="y",1,0)</f>
        <v>0</v>
      </c>
      <c r="L121" s="68">
        <f>IF(VLOOKUP(D121,A!A$1:H$767,5,FALSE)="y",1,0)</f>
        <v>0</v>
      </c>
      <c r="M121" s="711"/>
      <c r="N121" s="67">
        <f>VLOOKUP(D121,A!A$1:H$767,6,FALSE)</f>
        <v>0</v>
      </c>
      <c r="O121" s="93" t="s">
        <v>73</v>
      </c>
      <c r="P121" s="10">
        <f>VLOOKUP(D121,A!A$1:G$767,2,FALSE)</f>
        <v>0</v>
      </c>
      <c r="Q121" s="10" t="s">
        <v>57</v>
      </c>
      <c r="R121" s="10">
        <f t="shared" si="13"/>
        <v>0</v>
      </c>
      <c r="S121" s="10">
        <f>VLOOKUP(D121,A!A$1:AK$767,31,FALSE)</f>
        <v>25</v>
      </c>
      <c r="T121" s="10">
        <v>0.2</v>
      </c>
      <c r="U121" s="10">
        <f>T121*B121</f>
        <v>0</v>
      </c>
      <c r="X121" s="10"/>
    </row>
    <row r="122" spans="1:24" ht="11.25" hidden="1" customHeight="1" x14ac:dyDescent="0.25">
      <c r="A122" s="1" t="str">
        <f>IF(R122=0,"",COUNTIF(A$23:A121,"&gt;0")+1)</f>
        <v/>
      </c>
      <c r="B122" s="87"/>
      <c r="C122" s="63" t="s">
        <v>51</v>
      </c>
      <c r="D122" s="88" t="s">
        <v>170</v>
      </c>
      <c r="E122" s="65"/>
      <c r="F122" s="65"/>
      <c r="G122" s="89" t="s">
        <v>171</v>
      </c>
      <c r="H122" s="90" t="s">
        <v>172</v>
      </c>
      <c r="I122" s="67">
        <f>VLOOKUP(D122,A!A$1:H$767,8,FALSE)</f>
        <v>3</v>
      </c>
      <c r="J122" s="67"/>
      <c r="K122" s="68">
        <f>IF(VLOOKUP(D122,A!A$1:H$767,4,FALSE)="y",1,0)</f>
        <v>0</v>
      </c>
      <c r="L122" s="68">
        <f>IF(VLOOKUP(D122,A!A$1:H$767,5,FALSE)="y",1,0)</f>
        <v>0</v>
      </c>
      <c r="M122" s="711"/>
      <c r="N122" s="67">
        <f>VLOOKUP(D122,A!A$1:H$767,6,FALSE)</f>
        <v>0</v>
      </c>
      <c r="O122" s="93" t="s">
        <v>73</v>
      </c>
      <c r="P122" s="10">
        <f>VLOOKUP(D122,A!A$1:G$767,2,FALSE)</f>
        <v>0</v>
      </c>
      <c r="Q122" s="10" t="s">
        <v>57</v>
      </c>
      <c r="R122" s="10">
        <f t="shared" si="13"/>
        <v>0</v>
      </c>
      <c r="S122" s="10">
        <f>VLOOKUP(D122,A!A$1:AK$767,31,FALSE)</f>
        <v>35</v>
      </c>
      <c r="T122" s="10">
        <v>0.2</v>
      </c>
      <c r="U122" s="10">
        <f t="shared" si="14"/>
        <v>0</v>
      </c>
      <c r="X122" s="10"/>
    </row>
    <row r="123" spans="1:24" ht="11.25" customHeight="1" x14ac:dyDescent="0.25">
      <c r="A123" s="1" t="str">
        <f>IF(R123=0,"",COUNTIF(A$23:A122,"&gt;0")+1)</f>
        <v/>
      </c>
      <c r="B123" s="87"/>
      <c r="C123" s="63" t="s">
        <v>51</v>
      </c>
      <c r="D123" s="88" t="s">
        <v>173</v>
      </c>
      <c r="E123" s="65"/>
      <c r="F123" s="65"/>
      <c r="G123" s="89" t="s">
        <v>174</v>
      </c>
      <c r="H123" s="90" t="s">
        <v>175</v>
      </c>
      <c r="I123" s="67">
        <f>VLOOKUP(D123,A!A$1:H$767,8,FALSE)</f>
        <v>2</v>
      </c>
      <c r="J123" s="67"/>
      <c r="K123" s="68">
        <f>IF(VLOOKUP(D123,A!A$1:H$767,4,FALSE)="y",1,0)</f>
        <v>1</v>
      </c>
      <c r="L123" s="68">
        <f>IF(VLOOKUP(D123,A!A$1:H$767,5,FALSE)="y",1,0)</f>
        <v>0</v>
      </c>
      <c r="M123" s="711"/>
      <c r="N123" s="67">
        <f>VLOOKUP(D123,A!A$1:H$767,6,FALSE)</f>
        <v>0</v>
      </c>
      <c r="O123" s="93">
        <v>1</v>
      </c>
      <c r="P123" s="10" t="str">
        <f>VLOOKUP(D123,A!A$1:G$767,2,FALSE)</f>
        <v>y</v>
      </c>
      <c r="Q123" s="10" t="s">
        <v>57</v>
      </c>
      <c r="R123" s="10">
        <f t="shared" si="13"/>
        <v>0</v>
      </c>
      <c r="S123" s="10">
        <f>VLOOKUP(D123,A!A$1:AK$767,31,FALSE)</f>
        <v>25</v>
      </c>
      <c r="T123" s="10">
        <v>0.2</v>
      </c>
      <c r="U123" s="10">
        <f t="shared" si="14"/>
        <v>0</v>
      </c>
      <c r="X123" s="10"/>
    </row>
    <row r="124" spans="1:24" ht="10.9" hidden="1" customHeight="1" x14ac:dyDescent="0.25">
      <c r="A124" s="1" t="str">
        <f>IF(R124=0,"",COUNTIF(A$23:A123,"&gt;0")+1)</f>
        <v/>
      </c>
      <c r="B124" s="87"/>
      <c r="C124" s="63" t="s">
        <v>51</v>
      </c>
      <c r="D124" s="88" t="s">
        <v>176</v>
      </c>
      <c r="E124" s="65"/>
      <c r="F124" s="65"/>
      <c r="G124" s="89" t="s">
        <v>177</v>
      </c>
      <c r="H124" s="90" t="s">
        <v>178</v>
      </c>
      <c r="I124" s="67">
        <f>VLOOKUP(D124,A!A$1:H$767,8,FALSE)</f>
        <v>3</v>
      </c>
      <c r="J124" s="67"/>
      <c r="K124" s="68">
        <f>IF(VLOOKUP(D124,A!A$1:H$767,4,FALSE)="y",1,0)</f>
        <v>0</v>
      </c>
      <c r="L124" s="68">
        <f>IF(VLOOKUP(D124,A!A$1:H$767,5,FALSE)="y",1,0)</f>
        <v>0</v>
      </c>
      <c r="M124" s="711"/>
      <c r="N124" s="67">
        <f>VLOOKUP(D124,A!A$1:H$767,6,FALSE)</f>
        <v>0</v>
      </c>
      <c r="O124" s="93">
        <v>1</v>
      </c>
      <c r="P124" s="10">
        <f>VLOOKUP(D124,A!A$1:G$767,2,FALSE)</f>
        <v>0</v>
      </c>
      <c r="Q124" s="10" t="s">
        <v>57</v>
      </c>
      <c r="R124" s="10">
        <f t="shared" si="13"/>
        <v>0</v>
      </c>
      <c r="S124" s="10" t="str">
        <f>VLOOKUP(D124,A!A$1:AK$767,31,FALSE)</f>
        <v/>
      </c>
      <c r="T124" s="10">
        <v>0.2</v>
      </c>
      <c r="U124" s="10">
        <f t="shared" si="14"/>
        <v>0</v>
      </c>
      <c r="X124" s="10"/>
    </row>
    <row r="125" spans="1:24" ht="11.25" hidden="1" customHeight="1" x14ac:dyDescent="0.25">
      <c r="A125" s="1" t="str">
        <f>IF(R125=0,"",COUNTIF(A$23:A124,"&gt;0")+1)</f>
        <v/>
      </c>
      <c r="B125" s="87"/>
      <c r="C125" s="63" t="s">
        <v>51</v>
      </c>
      <c r="D125" s="88" t="s">
        <v>179</v>
      </c>
      <c r="E125" s="65"/>
      <c r="F125" s="65"/>
      <c r="G125" s="89" t="s">
        <v>180</v>
      </c>
      <c r="H125" s="90" t="s">
        <v>181</v>
      </c>
      <c r="I125" s="67">
        <f>VLOOKUP(D125,A!A$1:H$767,8,FALSE)</f>
        <v>1</v>
      </c>
      <c r="J125" s="67" t="s">
        <v>63</v>
      </c>
      <c r="K125" s="68">
        <f>IF(VLOOKUP(D125,A!A$1:H$767,4,FALSE)="y",1,0)</f>
        <v>0</v>
      </c>
      <c r="L125" s="68">
        <f>IF(VLOOKUP(D125,A!A$1:H$767,5,FALSE)="y",1,0)</f>
        <v>0</v>
      </c>
      <c r="M125" s="711"/>
      <c r="N125" s="67">
        <f>VLOOKUP(D125,A!A$1:H$767,6,FALSE)</f>
        <v>0</v>
      </c>
      <c r="O125" s="93">
        <v>1</v>
      </c>
      <c r="P125" s="10">
        <f>VLOOKUP(D125,A!A$1:G$767,2,FALSE)</f>
        <v>0</v>
      </c>
      <c r="Q125" s="10" t="s">
        <v>57</v>
      </c>
      <c r="R125" s="10">
        <f t="shared" si="13"/>
        <v>0</v>
      </c>
      <c r="S125" s="10" t="str">
        <f>VLOOKUP(D125,A!A$1:AK$767,31,FALSE)</f>
        <v/>
      </c>
      <c r="T125" s="10">
        <v>0.2</v>
      </c>
      <c r="U125" s="10">
        <f t="shared" si="14"/>
        <v>0</v>
      </c>
      <c r="X125" s="10"/>
    </row>
    <row r="126" spans="1:24" ht="11.25" customHeight="1" x14ac:dyDescent="0.25">
      <c r="A126" s="1" t="str">
        <f>IF(R126=0,"",COUNTIF(A$23:A125,"&gt;0")+1)</f>
        <v/>
      </c>
      <c r="B126" s="87"/>
      <c r="C126" s="63" t="s">
        <v>51</v>
      </c>
      <c r="D126" s="88" t="s">
        <v>182</v>
      </c>
      <c r="E126" s="65"/>
      <c r="F126" s="65"/>
      <c r="G126" s="89" t="s">
        <v>183</v>
      </c>
      <c r="H126" s="90" t="s">
        <v>184</v>
      </c>
      <c r="I126" s="67">
        <f>VLOOKUP(D126,A!A$1:H$767,8,FALSE)</f>
        <v>2</v>
      </c>
      <c r="J126" s="67"/>
      <c r="K126" s="68">
        <f>IF(VLOOKUP(D126,A!A$1:H$767,4,FALSE)="y",1,0)</f>
        <v>1</v>
      </c>
      <c r="L126" s="68">
        <f>IF(VLOOKUP(D126,A!A$1:H$767,5,FALSE)="y",1,0)</f>
        <v>0</v>
      </c>
      <c r="M126" s="711"/>
      <c r="N126" s="67">
        <f>VLOOKUP(D126,A!A$1:H$767,6,FALSE)</f>
        <v>0</v>
      </c>
      <c r="O126" s="93">
        <v>1</v>
      </c>
      <c r="P126" s="10" t="str">
        <f>VLOOKUP(D126,A!A$1:G$767,2,FALSE)</f>
        <v>y</v>
      </c>
      <c r="Q126" s="10" t="s">
        <v>57</v>
      </c>
      <c r="R126" s="10">
        <f t="shared" si="13"/>
        <v>0</v>
      </c>
      <c r="S126" s="10">
        <f>VLOOKUP(D126,A!A$1:AK$767,31,FALSE)</f>
        <v>35</v>
      </c>
      <c r="T126" s="10">
        <v>0.2</v>
      </c>
      <c r="U126" s="10">
        <f t="shared" si="14"/>
        <v>0</v>
      </c>
      <c r="X126" s="10"/>
    </row>
    <row r="127" spans="1:24" ht="11.25" customHeight="1" x14ac:dyDescent="0.25">
      <c r="A127" s="1" t="str">
        <f>IF(R127=0,"",COUNTIF(A$23:A126,"&gt;0")+1)</f>
        <v/>
      </c>
      <c r="B127" s="87"/>
      <c r="C127" s="63" t="s">
        <v>51</v>
      </c>
      <c r="D127" s="88" t="s">
        <v>185</v>
      </c>
      <c r="E127" s="65"/>
      <c r="F127" s="65"/>
      <c r="G127" s="89" t="s">
        <v>186</v>
      </c>
      <c r="H127" s="90" t="s">
        <v>187</v>
      </c>
      <c r="I127" s="67">
        <f>VLOOKUP(D127,A!A$1:H$767,8,FALSE)</f>
        <v>3</v>
      </c>
      <c r="J127" s="67"/>
      <c r="K127" s="68">
        <f>IF(VLOOKUP(D127,A!A$1:H$767,4,FALSE)="y",1,0)</f>
        <v>1</v>
      </c>
      <c r="L127" s="68">
        <f>IF(VLOOKUP(D127,A!A$1:H$767,5,FALSE)="y",1,0)</f>
        <v>0</v>
      </c>
      <c r="M127" s="711"/>
      <c r="N127" s="67"/>
      <c r="O127" s="93">
        <v>2</v>
      </c>
      <c r="P127" s="10" t="str">
        <f>VLOOKUP(D127,A!A$1:G$767,2,FALSE)</f>
        <v>y</v>
      </c>
      <c r="Q127" s="10" t="s">
        <v>57</v>
      </c>
      <c r="R127" s="10">
        <f t="shared" si="13"/>
        <v>0</v>
      </c>
      <c r="S127" s="10">
        <f>VLOOKUP(D127,A!A$1:AK$767,31,FALSE)</f>
        <v>35</v>
      </c>
      <c r="T127" s="10">
        <v>0.2</v>
      </c>
      <c r="U127" s="10">
        <f t="shared" si="14"/>
        <v>0</v>
      </c>
      <c r="X127" s="10"/>
    </row>
    <row r="128" spans="1:24" ht="11.25" customHeight="1" x14ac:dyDescent="0.25">
      <c r="A128" s="1" t="str">
        <f>IF(R128=0,"",COUNTIF(A$23:A127,"&gt;0")+1)</f>
        <v/>
      </c>
      <c r="B128" s="87"/>
      <c r="C128" s="63" t="s">
        <v>51</v>
      </c>
      <c r="D128" s="88" t="s">
        <v>188</v>
      </c>
      <c r="E128" s="65"/>
      <c r="F128" s="65"/>
      <c r="G128" s="89" t="s">
        <v>189</v>
      </c>
      <c r="H128" s="90" t="s">
        <v>190</v>
      </c>
      <c r="I128" s="67">
        <f>VLOOKUP(D128,A!A$1:H$767,8,FALSE)</f>
        <v>2</v>
      </c>
      <c r="J128" s="67"/>
      <c r="K128" s="68">
        <f>IF(VLOOKUP(D128,A!A$1:H$767,4,FALSE)="y",1,0)</f>
        <v>1</v>
      </c>
      <c r="L128" s="68">
        <f>IF(VLOOKUP(D128,A!A$1:H$767,5,FALSE)="y",1,0)</f>
        <v>0</v>
      </c>
      <c r="M128" s="711"/>
      <c r="N128" s="67">
        <f>VLOOKUP(D128,A!A$1:H$767,6,FALSE)</f>
        <v>0</v>
      </c>
      <c r="O128" s="93">
        <v>2</v>
      </c>
      <c r="P128" s="10" t="str">
        <f>VLOOKUP(D128,A!A$1:G$767,2,FALSE)</f>
        <v>y</v>
      </c>
      <c r="Q128" s="10" t="s">
        <v>57</v>
      </c>
      <c r="R128" s="10">
        <f t="shared" si="13"/>
        <v>0</v>
      </c>
      <c r="S128" s="10">
        <f>VLOOKUP(D128,A!A$1:AK$767,31,FALSE)</f>
        <v>35</v>
      </c>
      <c r="T128" s="10">
        <v>0.2</v>
      </c>
      <c r="U128" s="10">
        <f t="shared" si="14"/>
        <v>0</v>
      </c>
      <c r="X128" s="10"/>
    </row>
    <row r="129" spans="1:24" ht="11.25" hidden="1" customHeight="1" x14ac:dyDescent="0.25">
      <c r="A129" s="1" t="str">
        <f>IF(R129=0,"",COUNTIF(A$23:A128,"&gt;0")+1)</f>
        <v/>
      </c>
      <c r="B129" s="87"/>
      <c r="C129" s="63" t="s">
        <v>51</v>
      </c>
      <c r="D129" s="88" t="s">
        <v>191</v>
      </c>
      <c r="E129" s="65"/>
      <c r="F129" s="65"/>
      <c r="G129" s="89" t="s">
        <v>192</v>
      </c>
      <c r="H129" s="90" t="s">
        <v>193</v>
      </c>
      <c r="I129" s="67">
        <f>VLOOKUP(D129,A!A$1:H$767,8,FALSE)</f>
        <v>2</v>
      </c>
      <c r="J129" s="67"/>
      <c r="K129" s="68">
        <f>IF(VLOOKUP(D129,A!A$1:H$767,4,FALSE)="y",1,0)</f>
        <v>0</v>
      </c>
      <c r="L129" s="68">
        <f>IF(VLOOKUP(D129,A!A$1:H$767,5,FALSE)="y",1,0)</f>
        <v>0</v>
      </c>
      <c r="M129" s="711"/>
      <c r="N129" s="67">
        <f>VLOOKUP(D129,A!A$1:H$767,6,FALSE)</f>
        <v>0</v>
      </c>
      <c r="O129" s="93" t="s">
        <v>73</v>
      </c>
      <c r="P129" s="10">
        <f>VLOOKUP(D129,A!A$1:G$767,2,FALSE)</f>
        <v>0</v>
      </c>
      <c r="Q129" s="10" t="s">
        <v>57</v>
      </c>
      <c r="R129" s="10">
        <f t="shared" si="13"/>
        <v>0</v>
      </c>
      <c r="S129" s="10">
        <f>VLOOKUP(D129,A!A$1:AK$767,31,FALSE)</f>
        <v>35</v>
      </c>
      <c r="T129" s="10">
        <v>0.2</v>
      </c>
      <c r="U129" s="10">
        <f t="shared" si="14"/>
        <v>0</v>
      </c>
      <c r="X129" s="10"/>
    </row>
    <row r="130" spans="1:24" ht="11.25" hidden="1" customHeight="1" x14ac:dyDescent="0.25">
      <c r="A130" s="1" t="str">
        <f>IF(R130=0,"",COUNTIF(A$23:A129,"&gt;0")+1)</f>
        <v/>
      </c>
      <c r="B130" s="87"/>
      <c r="C130" s="63" t="s">
        <v>51</v>
      </c>
      <c r="D130" s="88" t="s">
        <v>194</v>
      </c>
      <c r="E130" s="65"/>
      <c r="F130" s="65"/>
      <c r="G130" s="89" t="s">
        <v>195</v>
      </c>
      <c r="H130" s="90" t="s">
        <v>196</v>
      </c>
      <c r="I130" s="67">
        <f>VLOOKUP(D130,A!A$1:H$767,8,FALSE)</f>
        <v>1</v>
      </c>
      <c r="J130" s="67"/>
      <c r="K130" s="68">
        <f>IF(VLOOKUP(D130,A!A$1:H$767,4,FALSE)="y",1,0)</f>
        <v>0</v>
      </c>
      <c r="L130" s="68">
        <f>IF(VLOOKUP(D130,A!A$1:H$767,5,FALSE)="y",1,0)</f>
        <v>0</v>
      </c>
      <c r="M130" s="711"/>
      <c r="N130" s="67">
        <f>VLOOKUP(D130,A!A$1:H$767,6,FALSE)</f>
        <v>0</v>
      </c>
      <c r="O130" s="93">
        <v>1</v>
      </c>
      <c r="P130" s="10">
        <f>VLOOKUP(D130,A!A$1:G$767,2,FALSE)</f>
        <v>0</v>
      </c>
      <c r="Q130" s="10" t="s">
        <v>57</v>
      </c>
      <c r="R130" s="10">
        <f t="shared" si="13"/>
        <v>0</v>
      </c>
      <c r="S130" s="10" t="str">
        <f>VLOOKUP(D130,A!A$1:AK$767,31,FALSE)</f>
        <v/>
      </c>
      <c r="T130" s="10">
        <v>0.2</v>
      </c>
      <c r="U130" s="10">
        <f t="shared" si="14"/>
        <v>0</v>
      </c>
      <c r="X130" s="10"/>
    </row>
    <row r="131" spans="1:24" ht="11.25" hidden="1" customHeight="1" x14ac:dyDescent="0.25">
      <c r="A131" s="1" t="str">
        <f>IF(R131=0,"",COUNTIF(A$23:A130,"&gt;0")+1)</f>
        <v/>
      </c>
      <c r="B131" s="87"/>
      <c r="C131" s="63" t="s">
        <v>51</v>
      </c>
      <c r="D131" s="88" t="s">
        <v>197</v>
      </c>
      <c r="E131" s="65"/>
      <c r="F131" s="65"/>
      <c r="G131" s="89" t="s">
        <v>198</v>
      </c>
      <c r="H131" s="90" t="s">
        <v>199</v>
      </c>
      <c r="I131" s="67">
        <f>VLOOKUP(D131,A!A$1:H$767,8,FALSE)</f>
        <v>3</v>
      </c>
      <c r="J131" s="67"/>
      <c r="K131" s="68">
        <f>IF(VLOOKUP(D131,A!A$1:H$767,4,FALSE)="y",1,0)</f>
        <v>0</v>
      </c>
      <c r="L131" s="68">
        <f>IF(VLOOKUP(D131,A!A$1:H$767,5,FALSE)="y",1,0)</f>
        <v>0</v>
      </c>
      <c r="M131" s="711"/>
      <c r="N131" s="67">
        <f>VLOOKUP(D131,A!A$1:H$767,6,FALSE)</f>
        <v>0</v>
      </c>
      <c r="O131" s="93">
        <v>1</v>
      </c>
      <c r="P131" s="10">
        <f>VLOOKUP(D131,A!A$1:G$767,2,FALSE)</f>
        <v>0</v>
      </c>
      <c r="Q131" s="10" t="s">
        <v>57</v>
      </c>
      <c r="R131" s="10">
        <f t="shared" si="13"/>
        <v>0</v>
      </c>
      <c r="S131" s="10">
        <f>VLOOKUP(D131,A!A$1:AK$767,31,FALSE)</f>
        <v>35</v>
      </c>
      <c r="T131" s="10">
        <v>0.2</v>
      </c>
      <c r="U131" s="10">
        <f t="shared" si="14"/>
        <v>0</v>
      </c>
      <c r="X131" s="10"/>
    </row>
    <row r="132" spans="1:24" ht="11.25" hidden="1" customHeight="1" x14ac:dyDescent="0.25">
      <c r="A132" s="1" t="str">
        <f>IF(R132=0,"",COUNTIF(A$23:A131,"&gt;0")+1)</f>
        <v/>
      </c>
      <c r="B132" s="87"/>
      <c r="C132" s="63" t="s">
        <v>51</v>
      </c>
      <c r="D132" s="88" t="s">
        <v>200</v>
      </c>
      <c r="E132" s="65"/>
      <c r="F132" s="65"/>
      <c r="G132" s="89" t="s">
        <v>201</v>
      </c>
      <c r="H132" s="90" t="s">
        <v>202</v>
      </c>
      <c r="I132" s="67">
        <f>VLOOKUP(D132,A!A$1:H$767,8,FALSE)</f>
        <v>1</v>
      </c>
      <c r="J132" s="67"/>
      <c r="K132" s="68">
        <f>IF(VLOOKUP(D132,A!A$1:H$767,4,FALSE)="y",1,0)</f>
        <v>0</v>
      </c>
      <c r="L132" s="68">
        <f>IF(VLOOKUP(D132,A!A$1:H$767,5,FALSE)="y",1,0)</f>
        <v>0</v>
      </c>
      <c r="M132" s="711"/>
      <c r="N132" s="67">
        <f>VLOOKUP(D132,A!A$1:H$767,6,FALSE)</f>
        <v>0</v>
      </c>
      <c r="O132" s="93" t="s">
        <v>73</v>
      </c>
      <c r="P132" s="10">
        <f>VLOOKUP(D132,A!A$1:G$767,2,FALSE)</f>
        <v>0</v>
      </c>
      <c r="Q132" s="10" t="s">
        <v>57</v>
      </c>
      <c r="R132" s="10">
        <f t="shared" si="13"/>
        <v>0</v>
      </c>
      <c r="S132" s="10">
        <f>VLOOKUP(D132,A!A$1:AK$767,31,FALSE)</f>
        <v>25</v>
      </c>
      <c r="T132" s="10">
        <v>0.2</v>
      </c>
      <c r="U132" s="10">
        <f t="shared" si="14"/>
        <v>0</v>
      </c>
      <c r="X132" s="10"/>
    </row>
    <row r="133" spans="1:24" ht="11.25" hidden="1" customHeight="1" x14ac:dyDescent="0.25">
      <c r="A133" s="1" t="str">
        <f>IF(R133=0,"",COUNTIF(A$23:A132,"&gt;0")+1)</f>
        <v/>
      </c>
      <c r="B133" s="87"/>
      <c r="C133" s="63" t="s">
        <v>51</v>
      </c>
      <c r="D133" s="88" t="s">
        <v>203</v>
      </c>
      <c r="E133" s="65"/>
      <c r="F133" s="65"/>
      <c r="G133" s="89" t="s">
        <v>201</v>
      </c>
      <c r="H133" s="90" t="s">
        <v>204</v>
      </c>
      <c r="I133" s="67">
        <f>VLOOKUP(D133,A!A$1:H$767,8,FALSE)</f>
        <v>1</v>
      </c>
      <c r="J133" s="67"/>
      <c r="K133" s="68">
        <f>IF(VLOOKUP(D133,A!A$1:H$767,4,FALSE)="y",1,0)</f>
        <v>0</v>
      </c>
      <c r="L133" s="68">
        <f>IF(VLOOKUP(D133,A!A$1:H$767,5,FALSE)="y",1,0)</f>
        <v>0</v>
      </c>
      <c r="M133" s="711"/>
      <c r="N133" s="67">
        <f>VLOOKUP(D133,A!A$1:H$767,6,FALSE)</f>
        <v>0</v>
      </c>
      <c r="O133" s="93" t="s">
        <v>73</v>
      </c>
      <c r="P133" s="10">
        <f>VLOOKUP(D133,A!A$1:G$767,2,FALSE)</f>
        <v>0</v>
      </c>
      <c r="Q133" s="10" t="s">
        <v>57</v>
      </c>
      <c r="R133" s="10">
        <f t="shared" si="13"/>
        <v>0</v>
      </c>
      <c r="S133" s="10" t="str">
        <f>VLOOKUP(D133,A!A$1:AK$767,31,FALSE)</f>
        <v/>
      </c>
      <c r="T133" s="10">
        <v>0.2</v>
      </c>
      <c r="U133" s="10">
        <f t="shared" si="14"/>
        <v>0</v>
      </c>
      <c r="X133" s="10"/>
    </row>
    <row r="134" spans="1:24" ht="11.25" customHeight="1" x14ac:dyDescent="0.25">
      <c r="A134" s="1" t="str">
        <f>IF(R134=0,"",COUNTIF(A$23:A133,"&gt;0")+1)</f>
        <v/>
      </c>
      <c r="B134" s="87"/>
      <c r="C134" s="63" t="s">
        <v>51</v>
      </c>
      <c r="D134" s="88" t="s">
        <v>205</v>
      </c>
      <c r="E134" s="65"/>
      <c r="F134" s="65"/>
      <c r="G134" s="89" t="s">
        <v>201</v>
      </c>
      <c r="H134" s="90" t="s">
        <v>206</v>
      </c>
      <c r="I134" s="67">
        <f>VLOOKUP(D134,A!A$1:H$767,8,FALSE)</f>
        <v>1</v>
      </c>
      <c r="J134" s="67"/>
      <c r="K134" s="68">
        <f>IF(VLOOKUP(D134,A!A$1:H$767,4,FALSE)="y",1,0)</f>
        <v>1</v>
      </c>
      <c r="L134" s="68">
        <f>IF(VLOOKUP(D134,A!A$1:H$767,5,FALSE)="y",1,0)</f>
        <v>1</v>
      </c>
      <c r="M134" s="711"/>
      <c r="N134" s="67">
        <f>VLOOKUP(D134,A!A$1:H$767,6,FALSE)</f>
        <v>0</v>
      </c>
      <c r="O134" s="93" t="s">
        <v>73</v>
      </c>
      <c r="P134" s="10" t="str">
        <f>VLOOKUP(D134,A!A$1:G$767,2,FALSE)</f>
        <v>y</v>
      </c>
      <c r="Q134" s="10" t="s">
        <v>57</v>
      </c>
      <c r="R134" s="10">
        <f t="shared" si="13"/>
        <v>0</v>
      </c>
      <c r="S134" s="10">
        <f>VLOOKUP(D134,A!A$1:AK$767,31,FALSE)</f>
        <v>25</v>
      </c>
      <c r="T134" s="10">
        <v>0.2</v>
      </c>
      <c r="U134" s="10">
        <f t="shared" si="14"/>
        <v>0</v>
      </c>
      <c r="X134" s="10"/>
    </row>
    <row r="135" spans="1:24" ht="11.25" hidden="1" customHeight="1" x14ac:dyDescent="0.25">
      <c r="A135" s="1" t="str">
        <f>IF(R135=0,"",COUNTIF(A$23:A134,"&gt;0")+1)</f>
        <v/>
      </c>
      <c r="B135" s="87"/>
      <c r="C135" s="63" t="s">
        <v>51</v>
      </c>
      <c r="D135" s="88" t="s">
        <v>207</v>
      </c>
      <c r="E135" s="65"/>
      <c r="F135" s="65"/>
      <c r="G135" s="89" t="s">
        <v>208</v>
      </c>
      <c r="H135" s="90" t="s">
        <v>209</v>
      </c>
      <c r="I135" s="67">
        <f>VLOOKUP(D135,A!A$1:H$767,8,FALSE)</f>
        <v>1</v>
      </c>
      <c r="J135" s="67"/>
      <c r="K135" s="68">
        <f>IF(VLOOKUP(D135,A!A$1:H$767,4,FALSE)="y",1,0)</f>
        <v>0</v>
      </c>
      <c r="L135" s="68">
        <f>IF(VLOOKUP(D135,A!A$1:H$767,5,FALSE)="y",1,0)</f>
        <v>0</v>
      </c>
      <c r="M135" s="711"/>
      <c r="N135" s="67">
        <f>VLOOKUP(D135,A!A$1:H$767,6,FALSE)</f>
        <v>0</v>
      </c>
      <c r="O135" s="93" t="s">
        <v>73</v>
      </c>
      <c r="P135" s="10">
        <f>VLOOKUP(D135,A!A$1:G$767,2,FALSE)</f>
        <v>0</v>
      </c>
      <c r="Q135" s="10" t="s">
        <v>57</v>
      </c>
      <c r="R135" s="10">
        <f t="shared" si="13"/>
        <v>0</v>
      </c>
      <c r="S135" s="10">
        <f>VLOOKUP(D135,A!A$1:AK$767,31,FALSE)</f>
        <v>25</v>
      </c>
      <c r="T135" s="10">
        <v>0.2</v>
      </c>
      <c r="U135" s="10">
        <f t="shared" si="14"/>
        <v>0</v>
      </c>
      <c r="X135" s="10"/>
    </row>
    <row r="136" spans="1:24" ht="11.25" hidden="1" customHeight="1" x14ac:dyDescent="0.25">
      <c r="A136" s="1" t="str">
        <f>IF(R136=0,"",COUNTIF(A$23:A135,"&gt;0")+1)</f>
        <v/>
      </c>
      <c r="B136" s="87"/>
      <c r="C136" s="63" t="s">
        <v>51</v>
      </c>
      <c r="D136" s="88" t="s">
        <v>210</v>
      </c>
      <c r="E136" s="65"/>
      <c r="F136" s="65"/>
      <c r="G136" s="89" t="s">
        <v>211</v>
      </c>
      <c r="H136" s="90" t="s">
        <v>212</v>
      </c>
      <c r="I136" s="67">
        <f>VLOOKUP(D136,A!A$1:H$767,8,FALSE)</f>
        <v>2</v>
      </c>
      <c r="J136" s="67" t="s">
        <v>63</v>
      </c>
      <c r="K136" s="68">
        <f>IF(VLOOKUP(D136,A!A$1:H$767,4,FALSE)="y",1,0)</f>
        <v>0</v>
      </c>
      <c r="L136" s="68">
        <f>IF(VLOOKUP(D136,A!A$1:H$767,5,FALSE)="y",1,0)</f>
        <v>0</v>
      </c>
      <c r="M136" s="711"/>
      <c r="N136" s="67">
        <f>VLOOKUP(D136,A!A$1:H$767,6,FALSE)</f>
        <v>0</v>
      </c>
      <c r="O136" s="93" t="s">
        <v>73</v>
      </c>
      <c r="P136" s="10">
        <f>VLOOKUP(D136,A!A$1:G$767,2,FALSE)</f>
        <v>0</v>
      </c>
      <c r="Q136" s="10" t="s">
        <v>57</v>
      </c>
      <c r="R136" s="10">
        <f t="shared" si="13"/>
        <v>0</v>
      </c>
      <c r="S136" s="10">
        <f>VLOOKUP(D136,A!A$1:AK$767,31,FALSE)</f>
        <v>25</v>
      </c>
      <c r="T136" s="10">
        <v>0.2</v>
      </c>
      <c r="U136" s="10">
        <f t="shared" si="14"/>
        <v>0</v>
      </c>
      <c r="X136" s="10"/>
    </row>
    <row r="137" spans="1:24" ht="11.25" hidden="1" customHeight="1" x14ac:dyDescent="0.25">
      <c r="A137" s="1" t="str">
        <f>IF(R137=0,"",COUNTIF(A$23:A136,"&gt;0")+1)</f>
        <v/>
      </c>
      <c r="B137" s="87"/>
      <c r="C137" s="63" t="s">
        <v>51</v>
      </c>
      <c r="D137" s="88" t="s">
        <v>213</v>
      </c>
      <c r="E137" s="65"/>
      <c r="F137" s="65"/>
      <c r="G137" s="89" t="s">
        <v>214</v>
      </c>
      <c r="H137" s="90" t="s">
        <v>215</v>
      </c>
      <c r="I137" s="67">
        <f>VLOOKUP(D137,A!A$1:H$767,8,FALSE)</f>
        <v>1</v>
      </c>
      <c r="J137" s="67"/>
      <c r="K137" s="68">
        <f>IF(VLOOKUP(D137,A!A$1:H$767,4,FALSE)="y",1,0)</f>
        <v>0</v>
      </c>
      <c r="L137" s="68">
        <f>IF(VLOOKUP(D137,A!A$1:H$767,5,FALSE)="y",1,0)</f>
        <v>0</v>
      </c>
      <c r="M137" s="711"/>
      <c r="N137" s="67">
        <f>VLOOKUP(D137,A!A$1:H$767,6,FALSE)</f>
        <v>0</v>
      </c>
      <c r="O137" s="93" t="s">
        <v>73</v>
      </c>
      <c r="P137" s="10">
        <f>VLOOKUP(D137,A!A$1:G$767,2,FALSE)</f>
        <v>0</v>
      </c>
      <c r="Q137" s="10" t="s">
        <v>57</v>
      </c>
      <c r="R137" s="10">
        <f t="shared" si="13"/>
        <v>0</v>
      </c>
      <c r="S137" s="10">
        <v>35</v>
      </c>
      <c r="T137" s="10">
        <v>0.2</v>
      </c>
      <c r="U137" s="10">
        <f t="shared" si="14"/>
        <v>0</v>
      </c>
      <c r="X137" s="10"/>
    </row>
    <row r="138" spans="1:24" ht="11.25" hidden="1" customHeight="1" x14ac:dyDescent="0.25">
      <c r="A138" s="1" t="str">
        <f>IF(R138=0,"",COUNTIF(A$23:A137,"&gt;0")+1)</f>
        <v/>
      </c>
      <c r="B138" s="87"/>
      <c r="C138" s="63" t="s">
        <v>51</v>
      </c>
      <c r="D138" s="88" t="s">
        <v>216</v>
      </c>
      <c r="E138" s="65"/>
      <c r="F138" s="65"/>
      <c r="G138" s="89"/>
      <c r="H138" s="90"/>
      <c r="I138" s="67">
        <f>VLOOKUP(D138,A!A$1:H$767,8,FALSE)</f>
        <v>0</v>
      </c>
      <c r="J138" s="67"/>
      <c r="K138" s="68">
        <f>IF(VLOOKUP(D138,A!A$1:H$767,4,FALSE)="y",1,0)</f>
        <v>0</v>
      </c>
      <c r="L138" s="68">
        <f>IF(VLOOKUP(D138,A!A$1:H$767,5,FALSE)="y",1,0)</f>
        <v>0</v>
      </c>
      <c r="M138" s="711"/>
      <c r="N138" s="67">
        <f>VLOOKUP(D138,A!A$1:H$767,6,FALSE)</f>
        <v>0</v>
      </c>
      <c r="O138" s="93" t="s">
        <v>367</v>
      </c>
      <c r="P138" s="10">
        <f>VLOOKUP(D138,A!A$1:G$767,2,FALSE)</f>
        <v>0</v>
      </c>
      <c r="Q138" s="10" t="s">
        <v>57</v>
      </c>
      <c r="R138" s="10">
        <f t="shared" si="13"/>
        <v>0</v>
      </c>
      <c r="S138" s="10" t="str">
        <f>VLOOKUP(D138,A!A$1:AK$767,31,FALSE)</f>
        <v/>
      </c>
      <c r="T138" s="10">
        <v>0.2</v>
      </c>
      <c r="U138" s="10">
        <f t="shared" si="14"/>
        <v>0</v>
      </c>
      <c r="X138" s="10"/>
    </row>
    <row r="139" spans="1:24" ht="11.25" hidden="1" customHeight="1" x14ac:dyDescent="0.25">
      <c r="A139" s="1" t="str">
        <f>IF(R139=0,"",COUNTIF(A$23:A138,"&gt;0")+1)</f>
        <v/>
      </c>
      <c r="B139" s="87"/>
      <c r="C139" s="63" t="s">
        <v>51</v>
      </c>
      <c r="D139" s="88" t="s">
        <v>217</v>
      </c>
      <c r="E139" s="65"/>
      <c r="F139" s="65"/>
      <c r="G139" s="89"/>
      <c r="H139" s="90"/>
      <c r="I139" s="67">
        <f>VLOOKUP(D139,A!A$1:H$767,8,FALSE)</f>
        <v>1</v>
      </c>
      <c r="J139" s="67"/>
      <c r="K139" s="68">
        <f>IF(VLOOKUP(D139,A!A$1:H$767,4,FALSE)="y",1,0)</f>
        <v>0</v>
      </c>
      <c r="L139" s="68">
        <f>IF(VLOOKUP(D139,A!A$1:H$767,5,FALSE)="y",1,0)</f>
        <v>0</v>
      </c>
      <c r="M139" s="711"/>
      <c r="N139" s="67">
        <f>VLOOKUP(D139,A!A$1:H$767,6,FALSE)</f>
        <v>0</v>
      </c>
      <c r="O139" s="93" t="s">
        <v>369</v>
      </c>
      <c r="P139" s="10">
        <f>VLOOKUP(D139,A!A$1:G$767,2,FALSE)</f>
        <v>0</v>
      </c>
      <c r="Q139" s="10" t="s">
        <v>57</v>
      </c>
      <c r="R139" s="10">
        <f t="shared" si="13"/>
        <v>0</v>
      </c>
      <c r="S139" s="10">
        <f>VLOOKUP(D139,A!A$1:AK$767,31,FALSE)</f>
        <v>55</v>
      </c>
      <c r="T139" s="10">
        <v>0.2</v>
      </c>
      <c r="U139" s="10">
        <f t="shared" si="14"/>
        <v>0</v>
      </c>
      <c r="X139" s="10"/>
    </row>
    <row r="140" spans="1:24" ht="11.25" hidden="1" customHeight="1" x14ac:dyDescent="0.25">
      <c r="A140" s="1" t="str">
        <f>IF(R140=0,"",COUNTIF(A$23:A139,"&gt;0")+1)</f>
        <v/>
      </c>
      <c r="B140" s="87"/>
      <c r="C140" s="63" t="s">
        <v>51</v>
      </c>
      <c r="D140" s="88" t="s">
        <v>1415</v>
      </c>
      <c r="E140" s="65"/>
      <c r="F140" s="65"/>
      <c r="G140" s="89" t="s">
        <v>731</v>
      </c>
      <c r="H140" s="90" t="s">
        <v>1418</v>
      </c>
      <c r="I140" s="67">
        <f>VLOOKUP(D140,A!A$1:H$767,8,FALSE)</f>
        <v>1</v>
      </c>
      <c r="J140" s="67"/>
      <c r="K140" s="68">
        <f>IF(VLOOKUP(D140,A!A$1:H$767,4,FALSE)="y",1,0)</f>
        <v>0</v>
      </c>
      <c r="L140" s="68"/>
      <c r="M140" s="711"/>
      <c r="N140" s="67"/>
      <c r="O140" s="93" t="s">
        <v>73</v>
      </c>
      <c r="P140" s="10">
        <f>VLOOKUP(D140,A!A$1:G$767,2,FALSE)</f>
        <v>0</v>
      </c>
      <c r="Q140" s="10" t="s">
        <v>57</v>
      </c>
      <c r="R140" s="10">
        <f t="shared" ref="R140" si="15">B140</f>
        <v>0</v>
      </c>
      <c r="S140" s="10">
        <f>VLOOKUP(D140,A!A$1:AK$767,31,FALSE)</f>
        <v>55</v>
      </c>
      <c r="T140" s="10">
        <v>0.2</v>
      </c>
      <c r="U140" s="10">
        <f t="shared" ref="U140" si="16">T140*B140</f>
        <v>0</v>
      </c>
      <c r="X140" s="10"/>
    </row>
    <row r="141" spans="1:24" ht="11.25" hidden="1" customHeight="1" x14ac:dyDescent="0.25">
      <c r="A141" s="1" t="str">
        <f>IF(R141=0,"",COUNTIF(A$23:A140,"&gt;0")+1)</f>
        <v/>
      </c>
      <c r="B141" s="87"/>
      <c r="C141" s="63" t="s">
        <v>51</v>
      </c>
      <c r="D141" s="88" t="s">
        <v>218</v>
      </c>
      <c r="E141" s="65"/>
      <c r="F141" s="65"/>
      <c r="G141" s="89" t="s">
        <v>731</v>
      </c>
      <c r="H141" s="90" t="s">
        <v>733</v>
      </c>
      <c r="I141" s="67">
        <f>VLOOKUP(D141,A!A$1:H$767,8,FALSE)</f>
        <v>1</v>
      </c>
      <c r="J141" s="67"/>
      <c r="K141" s="68">
        <f>IF(VLOOKUP(D141,A!A$1:H$767,4,FALSE)="y",1,0)</f>
        <v>0</v>
      </c>
      <c r="L141" s="68">
        <f>IF(VLOOKUP(D141,A!A$1:H$767,5,FALSE)="y",1,0)</f>
        <v>0</v>
      </c>
      <c r="M141" s="711"/>
      <c r="N141" s="67">
        <f>VLOOKUP(D141,A!A$1:H$767,6,FALSE)</f>
        <v>0</v>
      </c>
      <c r="O141" s="93" t="s">
        <v>73</v>
      </c>
      <c r="P141" s="10">
        <f>VLOOKUP(D141,A!A$1:G$767,2,FALSE)</f>
        <v>0</v>
      </c>
      <c r="Q141" s="10" t="s">
        <v>57</v>
      </c>
      <c r="R141" s="10">
        <f t="shared" si="13"/>
        <v>0</v>
      </c>
      <c r="S141" s="10">
        <f>VLOOKUP(D141,A!A$1:AK$767,31,FALSE)</f>
        <v>55</v>
      </c>
      <c r="T141" s="10">
        <v>0.2</v>
      </c>
      <c r="U141" s="10">
        <f t="shared" si="14"/>
        <v>0</v>
      </c>
      <c r="X141" s="10"/>
    </row>
    <row r="142" spans="1:24" ht="11.25" hidden="1" customHeight="1" x14ac:dyDescent="0.25">
      <c r="A142" s="1" t="str">
        <f>IF(R142=0,"",COUNTIF(A$23:A141,"&gt;0")+1)</f>
        <v/>
      </c>
      <c r="B142" s="87"/>
      <c r="C142" s="63" t="s">
        <v>51</v>
      </c>
      <c r="D142" s="88" t="s">
        <v>219</v>
      </c>
      <c r="E142" s="65"/>
      <c r="F142" s="65"/>
      <c r="G142" s="89" t="s">
        <v>220</v>
      </c>
      <c r="H142" s="90" t="s">
        <v>221</v>
      </c>
      <c r="I142" s="67">
        <f>VLOOKUP(D142,A!A$1:H$767,8,FALSE)</f>
        <v>1</v>
      </c>
      <c r="J142" s="67"/>
      <c r="K142" s="68">
        <f>IF(VLOOKUP(D142,A!A$1:H$767,4,FALSE)="y",1,0)</f>
        <v>0</v>
      </c>
      <c r="L142" s="68">
        <f>IF(VLOOKUP(D142,A!A$1:H$767,5,FALSE)="y",1,0)</f>
        <v>0</v>
      </c>
      <c r="M142" s="711"/>
      <c r="N142" s="67">
        <f>VLOOKUP(D142,A!A$1:H$767,6,FALSE)</f>
        <v>0</v>
      </c>
      <c r="O142" s="93" t="s">
        <v>73</v>
      </c>
      <c r="P142" s="10">
        <f>VLOOKUP(D142,A!A$1:G$767,2,FALSE)</f>
        <v>0</v>
      </c>
      <c r="Q142" s="10" t="s">
        <v>57</v>
      </c>
      <c r="R142" s="10">
        <f t="shared" si="13"/>
        <v>0</v>
      </c>
      <c r="S142" s="10">
        <f>VLOOKUP(D142,A!A$1:AK$767,31,FALSE)</f>
        <v>55</v>
      </c>
      <c r="T142" s="10">
        <v>0.2</v>
      </c>
      <c r="U142" s="10">
        <f t="shared" si="14"/>
        <v>0</v>
      </c>
      <c r="X142" s="10"/>
    </row>
    <row r="143" spans="1:24" ht="11.25" hidden="1" customHeight="1" x14ac:dyDescent="0.25">
      <c r="A143" s="1" t="str">
        <f>IF(R143=0,"",COUNTIF(A$23:A142,"&gt;0")+1)</f>
        <v/>
      </c>
      <c r="B143" s="87"/>
      <c r="C143" s="63" t="s">
        <v>51</v>
      </c>
      <c r="D143" s="88" t="s">
        <v>222</v>
      </c>
      <c r="E143" s="65"/>
      <c r="F143" s="65"/>
      <c r="G143" s="89" t="s">
        <v>220</v>
      </c>
      <c r="H143" s="90" t="s">
        <v>223</v>
      </c>
      <c r="I143" s="67">
        <f>VLOOKUP(D143,A!A$1:H$767,8,FALSE)</f>
        <v>1</v>
      </c>
      <c r="J143" s="67"/>
      <c r="K143" s="68">
        <f>IF(VLOOKUP(D143,A!A$1:H$767,4,FALSE)="y",1,0)</f>
        <v>0</v>
      </c>
      <c r="L143" s="68">
        <f>IF(VLOOKUP(D143,A!A$1:H$767,5,FALSE)="y",1,0)</f>
        <v>0</v>
      </c>
      <c r="M143" s="711"/>
      <c r="N143" s="67">
        <f>VLOOKUP(D143,A!A$1:H$767,6,FALSE)</f>
        <v>0</v>
      </c>
      <c r="O143" s="93" t="s">
        <v>73</v>
      </c>
      <c r="P143" s="10">
        <f>VLOOKUP(D143,A!A$1:G$767,2,FALSE)</f>
        <v>0</v>
      </c>
      <c r="Q143" s="10" t="s">
        <v>57</v>
      </c>
      <c r="R143" s="10">
        <f t="shared" si="13"/>
        <v>0</v>
      </c>
      <c r="S143" s="10">
        <f>VLOOKUP(D143,A!A$1:AK$767,31,FALSE)</f>
        <v>55</v>
      </c>
      <c r="T143" s="10">
        <v>0.2</v>
      </c>
      <c r="U143" s="10">
        <f t="shared" si="14"/>
        <v>0</v>
      </c>
      <c r="X143" s="10"/>
    </row>
    <row r="144" spans="1:24" ht="11.25" customHeight="1" x14ac:dyDescent="0.25">
      <c r="A144" s="1" t="str">
        <f>IF(R144=0,"",COUNTIF(A$23:A143,"&gt;0")+1)</f>
        <v/>
      </c>
      <c r="B144" s="87"/>
      <c r="C144" s="63" t="s">
        <v>51</v>
      </c>
      <c r="D144" s="88" t="s">
        <v>224</v>
      </c>
      <c r="E144" s="65"/>
      <c r="F144" s="65"/>
      <c r="G144" s="89" t="s">
        <v>220</v>
      </c>
      <c r="H144" s="90" t="s">
        <v>225</v>
      </c>
      <c r="I144" s="67">
        <f>VLOOKUP(D144,A!A$1:H$767,8,FALSE)</f>
        <v>1</v>
      </c>
      <c r="J144" s="67"/>
      <c r="K144" s="68">
        <f>IF(VLOOKUP(D144,A!A$1:H$767,4,FALSE)="y",1,0)</f>
        <v>1</v>
      </c>
      <c r="L144" s="68">
        <f>IF(VLOOKUP(D144,A!A$1:H$767,5,FALSE)="y",1,0)</f>
        <v>0</v>
      </c>
      <c r="M144" s="711"/>
      <c r="N144" s="67">
        <f>VLOOKUP(D144,A!A$1:H$767,6,FALSE)</f>
        <v>0</v>
      </c>
      <c r="O144" s="93" t="s">
        <v>73</v>
      </c>
      <c r="P144" s="10" t="str">
        <f>VLOOKUP(D144,A!A$1:G$767,2,FALSE)</f>
        <v>y</v>
      </c>
      <c r="Q144" s="10" t="s">
        <v>57</v>
      </c>
      <c r="R144" s="10">
        <f t="shared" si="13"/>
        <v>0</v>
      </c>
      <c r="S144" s="10">
        <f>VLOOKUP(D144,A!A$1:AK$767,31,FALSE)</f>
        <v>55</v>
      </c>
      <c r="T144" s="10">
        <v>0.2</v>
      </c>
      <c r="U144" s="10">
        <f t="shared" si="14"/>
        <v>0</v>
      </c>
      <c r="X144" s="10"/>
    </row>
    <row r="145" spans="1:24" ht="11.25" hidden="1" customHeight="1" x14ac:dyDescent="0.25">
      <c r="A145" s="1" t="str">
        <f>IF(R145=0,"",COUNTIF(A$23:A144,"&gt;0")+1)</f>
        <v/>
      </c>
      <c r="B145" s="87"/>
      <c r="C145" s="63" t="s">
        <v>51</v>
      </c>
      <c r="D145" s="88" t="s">
        <v>226</v>
      </c>
      <c r="E145" s="65"/>
      <c r="F145" s="65"/>
      <c r="G145" s="89" t="s">
        <v>227</v>
      </c>
      <c r="H145" s="90" t="s">
        <v>228</v>
      </c>
      <c r="I145" s="67">
        <f>VLOOKUP(D145,A!A$1:H$767,8,FALSE)</f>
        <v>1</v>
      </c>
      <c r="J145" s="67"/>
      <c r="K145" s="68">
        <f>IF(VLOOKUP(D145,A!A$1:H$767,4,FALSE)="y",1,0)</f>
        <v>0</v>
      </c>
      <c r="L145" s="68">
        <f>IF(VLOOKUP(D145,A!A$1:H$767,5,FALSE)="y",1,0)</f>
        <v>0</v>
      </c>
      <c r="M145" s="711"/>
      <c r="N145" s="67">
        <f>VLOOKUP(D145,A!A$1:H$767,6,FALSE)</f>
        <v>0</v>
      </c>
      <c r="O145" s="93" t="s">
        <v>73</v>
      </c>
      <c r="P145" s="10">
        <f>VLOOKUP(D145,A!A$1:G$767,2,FALSE)</f>
        <v>0</v>
      </c>
      <c r="Q145" s="10" t="s">
        <v>57</v>
      </c>
      <c r="R145" s="10">
        <f t="shared" si="13"/>
        <v>0</v>
      </c>
      <c r="S145" s="10">
        <f>VLOOKUP(D145,A!A$1:AK$767,31,FALSE)</f>
        <v>55</v>
      </c>
      <c r="T145" s="10">
        <v>0.2</v>
      </c>
      <c r="U145" s="10">
        <f t="shared" si="14"/>
        <v>0</v>
      </c>
      <c r="X145" s="10"/>
    </row>
    <row r="146" spans="1:24" ht="11.25" hidden="1" customHeight="1" x14ac:dyDescent="0.25">
      <c r="A146" s="1" t="str">
        <f>IF(R146=0,"",COUNTIF(A$23:A145,"&gt;0")+1)</f>
        <v/>
      </c>
      <c r="B146" s="87"/>
      <c r="C146" s="63" t="s">
        <v>51</v>
      </c>
      <c r="D146" s="88" t="s">
        <v>229</v>
      </c>
      <c r="E146" s="65"/>
      <c r="F146" s="65"/>
      <c r="G146" s="89" t="s">
        <v>220</v>
      </c>
      <c r="H146" s="90" t="s">
        <v>230</v>
      </c>
      <c r="I146" s="67">
        <f>VLOOKUP(D146,A!A$1:H$767,8,FALSE)</f>
        <v>1</v>
      </c>
      <c r="J146" s="67"/>
      <c r="K146" s="68">
        <f>IF(VLOOKUP(D146,A!A$1:H$767,4,FALSE)="y",1,0)</f>
        <v>0</v>
      </c>
      <c r="L146" s="68">
        <f>IF(VLOOKUP(D146,A!A$1:H$767,5,FALSE)="y",1,0)</f>
        <v>0</v>
      </c>
      <c r="M146" s="711"/>
      <c r="N146" s="67">
        <f>VLOOKUP(D146,A!A$1:H$767,6,FALSE)</f>
        <v>0</v>
      </c>
      <c r="O146" s="93" t="s">
        <v>73</v>
      </c>
      <c r="P146" s="10">
        <f>VLOOKUP(D146,A!A$1:G$767,2,FALSE)</f>
        <v>0</v>
      </c>
      <c r="Q146" s="10" t="s">
        <v>57</v>
      </c>
      <c r="R146" s="10">
        <f t="shared" si="13"/>
        <v>0</v>
      </c>
      <c r="S146" s="10">
        <f>VLOOKUP(D146,A!A$1:AK$767,31,FALSE)</f>
        <v>55</v>
      </c>
      <c r="T146" s="10">
        <v>0.2</v>
      </c>
      <c r="U146" s="10">
        <f t="shared" si="14"/>
        <v>0</v>
      </c>
      <c r="X146" s="10"/>
    </row>
    <row r="147" spans="1:24" ht="11.25" customHeight="1" x14ac:dyDescent="0.25">
      <c r="A147" s="1" t="str">
        <f>IF(R147=0,"",COUNTIF(A$23:A146,"&gt;0")+1)</f>
        <v/>
      </c>
      <c r="B147" s="87"/>
      <c r="C147" s="63" t="s">
        <v>51</v>
      </c>
      <c r="D147" s="88" t="s">
        <v>231</v>
      </c>
      <c r="E147" s="65"/>
      <c r="F147" s="65"/>
      <c r="G147" s="89" t="s">
        <v>232</v>
      </c>
      <c r="H147" s="90" t="s">
        <v>233</v>
      </c>
      <c r="I147" s="67">
        <f>VLOOKUP(D147,A!A$1:H$767,8,FALSE)</f>
        <v>1</v>
      </c>
      <c r="J147" s="67"/>
      <c r="K147" s="68">
        <f>IF(VLOOKUP(D147,A!A$1:H$767,4,FALSE)="y",1,0)</f>
        <v>1</v>
      </c>
      <c r="L147" s="68">
        <f>IF(VLOOKUP(D147,A!A$1:H$767,5,FALSE)="y",1,0)</f>
        <v>0</v>
      </c>
      <c r="M147" s="711"/>
      <c r="N147" s="67">
        <f>VLOOKUP(D147,A!A$1:H$767,6,FALSE)</f>
        <v>0</v>
      </c>
      <c r="O147" s="93" t="s">
        <v>65</v>
      </c>
      <c r="P147" s="10" t="str">
        <f>VLOOKUP(D147,A!A$1:G$767,2,FALSE)</f>
        <v>Y</v>
      </c>
      <c r="Q147" s="10" t="s">
        <v>57</v>
      </c>
      <c r="R147" s="10">
        <f t="shared" si="13"/>
        <v>0</v>
      </c>
      <c r="S147" s="10">
        <f>VLOOKUP(D147,A!A$1:AK$767,31,FALSE)</f>
        <v>55</v>
      </c>
      <c r="T147" s="10">
        <v>0.2</v>
      </c>
      <c r="U147" s="10">
        <f t="shared" si="14"/>
        <v>0</v>
      </c>
      <c r="X147" s="10"/>
    </row>
    <row r="148" spans="1:24" ht="11.25" hidden="1" customHeight="1" x14ac:dyDescent="0.25">
      <c r="A148" s="1" t="str">
        <f>IF(R148=0,"",COUNTIF(A$23:A147,"&gt;0")+1)</f>
        <v/>
      </c>
      <c r="B148" s="87"/>
      <c r="C148" s="63" t="s">
        <v>51</v>
      </c>
      <c r="D148" s="88" t="s">
        <v>234</v>
      </c>
      <c r="E148" s="65"/>
      <c r="F148" s="65"/>
      <c r="G148" s="89" t="s">
        <v>235</v>
      </c>
      <c r="H148" s="90" t="s">
        <v>236</v>
      </c>
      <c r="I148" s="67">
        <f>VLOOKUP(D148,A!A$1:H$767,8,FALSE)</f>
        <v>1</v>
      </c>
      <c r="J148" s="67"/>
      <c r="K148" s="68">
        <f>IF(VLOOKUP(D148,A!A$1:H$767,4,FALSE)="y",1,0)</f>
        <v>0</v>
      </c>
      <c r="L148" s="68">
        <f>IF(VLOOKUP(D148,A!A$1:H$767,5,FALSE)="y",1,0)</f>
        <v>0</v>
      </c>
      <c r="M148" s="711"/>
      <c r="N148" s="67">
        <f>VLOOKUP(D148,A!A$1:H$767,6,FALSE)</f>
        <v>0</v>
      </c>
      <c r="O148" s="93" t="s">
        <v>65</v>
      </c>
      <c r="P148" s="10">
        <f>VLOOKUP(D148,A!A$1:G$767,2,FALSE)</f>
        <v>0</v>
      </c>
      <c r="Q148" s="10" t="s">
        <v>57</v>
      </c>
      <c r="R148" s="10">
        <f t="shared" si="13"/>
        <v>0</v>
      </c>
      <c r="S148" s="10">
        <f>VLOOKUP(D148,A!A$1:AK$767,31,FALSE)</f>
        <v>55</v>
      </c>
      <c r="T148" s="10">
        <v>0.2</v>
      </c>
      <c r="U148" s="10">
        <f t="shared" si="14"/>
        <v>0</v>
      </c>
      <c r="X148" s="10"/>
    </row>
    <row r="149" spans="1:24" ht="11.25" hidden="1" customHeight="1" x14ac:dyDescent="0.25">
      <c r="A149" s="1" t="str">
        <f>IF(R149=0,"",COUNTIF(A$23:A148,"&gt;0")+1)</f>
        <v/>
      </c>
      <c r="B149" s="87"/>
      <c r="C149" s="63" t="s">
        <v>51</v>
      </c>
      <c r="D149" s="88" t="s">
        <v>237</v>
      </c>
      <c r="E149" s="65"/>
      <c r="F149" s="65"/>
      <c r="G149" s="89"/>
      <c r="H149" s="90"/>
      <c r="I149" s="67">
        <f>VLOOKUP(D149,A!A$1:H$767,8,FALSE)</f>
        <v>0</v>
      </c>
      <c r="J149" s="67"/>
      <c r="K149" s="68">
        <f>IF(VLOOKUP(D149,A!A$1:H$767,4,FALSE)="y",1,0)</f>
        <v>0</v>
      </c>
      <c r="L149" s="68">
        <f>IF(VLOOKUP(D149,A!A$1:H$767,5,FALSE)="y",1,0)</f>
        <v>0</v>
      </c>
      <c r="M149" s="711"/>
      <c r="N149" s="67">
        <f>VLOOKUP(D149,A!A$1:H$767,6,FALSE)</f>
        <v>0</v>
      </c>
      <c r="O149" s="93"/>
      <c r="P149" s="10">
        <f>VLOOKUP(D149,A!A$1:G$767,2,FALSE)</f>
        <v>0</v>
      </c>
      <c r="Q149" s="10" t="s">
        <v>57</v>
      </c>
      <c r="R149" s="10">
        <f t="shared" ref="R149:R180" si="17">B149</f>
        <v>0</v>
      </c>
      <c r="S149" s="10" t="str">
        <f>VLOOKUP(D149,A!A$1:AK$767,31,FALSE)</f>
        <v/>
      </c>
      <c r="T149" s="10">
        <v>0.2</v>
      </c>
      <c r="U149" s="10">
        <f t="shared" ref="U149:U180" si="18">T149*B149</f>
        <v>0</v>
      </c>
      <c r="X149" s="10"/>
    </row>
    <row r="150" spans="1:24" ht="11.25" hidden="1" customHeight="1" x14ac:dyDescent="0.25">
      <c r="A150" s="1" t="str">
        <f>IF(R150=0,"",COUNTIF(A$23:A149,"&gt;0")+1)</f>
        <v/>
      </c>
      <c r="B150" s="87"/>
      <c r="C150" s="63" t="s">
        <v>51</v>
      </c>
      <c r="D150" s="88" t="s">
        <v>238</v>
      </c>
      <c r="E150" s="65"/>
      <c r="F150" s="65"/>
      <c r="G150" s="89" t="s">
        <v>239</v>
      </c>
      <c r="H150" s="90" t="s">
        <v>240</v>
      </c>
      <c r="I150" s="67">
        <f>VLOOKUP(D150,A!A$1:H$767,8,FALSE)</f>
        <v>2</v>
      </c>
      <c r="J150" s="67"/>
      <c r="K150" s="68">
        <f>IF(VLOOKUP(D150,A!A$1:H$767,4,FALSE)="y",1,0)</f>
        <v>0</v>
      </c>
      <c r="L150" s="68">
        <f>IF(VLOOKUP(D150,A!A$1:H$767,5,FALSE)="y",1,0)</f>
        <v>0</v>
      </c>
      <c r="M150" s="711"/>
      <c r="N150" s="67">
        <f>VLOOKUP(D150,A!A$1:H$767,6,FALSE)</f>
        <v>0</v>
      </c>
      <c r="O150" s="93">
        <v>1</v>
      </c>
      <c r="P150" s="10">
        <f>VLOOKUP(D150,A!A$1:G$767,2,FALSE)</f>
        <v>0</v>
      </c>
      <c r="Q150" s="10" t="s">
        <v>57</v>
      </c>
      <c r="R150" s="10">
        <f t="shared" si="17"/>
        <v>0</v>
      </c>
      <c r="S150" s="10" t="str">
        <f>VLOOKUP(D150,A!A$1:AK$767,31,FALSE)</f>
        <v/>
      </c>
      <c r="T150" s="10">
        <v>0.2</v>
      </c>
      <c r="U150" s="10">
        <f t="shared" si="18"/>
        <v>0</v>
      </c>
      <c r="X150" s="10"/>
    </row>
    <row r="151" spans="1:24" ht="11.25" hidden="1" customHeight="1" x14ac:dyDescent="0.25">
      <c r="A151" s="1" t="str">
        <f>IF(R151=0,"",COUNTIF(A$23:A150,"&gt;0")+1)</f>
        <v/>
      </c>
      <c r="B151" s="87"/>
      <c r="C151" s="63" t="s">
        <v>51</v>
      </c>
      <c r="D151" s="88" t="s">
        <v>241</v>
      </c>
      <c r="E151" s="65"/>
      <c r="F151" s="65"/>
      <c r="G151" s="89" t="s">
        <v>242</v>
      </c>
      <c r="H151" s="90" t="s">
        <v>243</v>
      </c>
      <c r="I151" s="67">
        <f>VLOOKUP(D151,A!A$1:H$767,8,FALSE)</f>
        <v>2</v>
      </c>
      <c r="J151" s="67"/>
      <c r="K151" s="68">
        <f>IF(VLOOKUP(D151,A!A$1:H$767,4,FALSE)="y",1,0)</f>
        <v>0</v>
      </c>
      <c r="L151" s="68">
        <f>IF(VLOOKUP(D151,A!A$1:H$767,5,FALSE)="y",1,0)</f>
        <v>0</v>
      </c>
      <c r="M151" s="711"/>
      <c r="N151" s="67">
        <f>VLOOKUP(D151,A!A$1:H$767,6,FALSE)</f>
        <v>0</v>
      </c>
      <c r="O151" s="93">
        <v>1</v>
      </c>
      <c r="P151" s="10">
        <f>VLOOKUP(D151,A!A$1:G$767,2,FALSE)</f>
        <v>0</v>
      </c>
      <c r="Q151" s="10" t="s">
        <v>57</v>
      </c>
      <c r="R151" s="10">
        <f t="shared" si="17"/>
        <v>0</v>
      </c>
      <c r="S151" s="10">
        <f>VLOOKUP(D151,A!A$1:AK$767,31,FALSE)</f>
        <v>35</v>
      </c>
      <c r="T151" s="10">
        <v>0.2</v>
      </c>
      <c r="U151" s="10">
        <f t="shared" si="18"/>
        <v>0</v>
      </c>
      <c r="X151" s="10"/>
    </row>
    <row r="152" spans="1:24" ht="11.25" hidden="1" customHeight="1" x14ac:dyDescent="0.25">
      <c r="A152" s="1" t="str">
        <f>IF(R152=0,"",COUNTIF(A$23:A151,"&gt;0")+1)</f>
        <v/>
      </c>
      <c r="B152" s="87"/>
      <c r="C152" s="63" t="s">
        <v>51</v>
      </c>
      <c r="D152" s="88" t="s">
        <v>244</v>
      </c>
      <c r="E152" s="65"/>
      <c r="F152" s="65"/>
      <c r="G152" s="89" t="s">
        <v>242</v>
      </c>
      <c r="H152" s="90" t="s">
        <v>245</v>
      </c>
      <c r="I152" s="67">
        <f>VLOOKUP(D152,A!A$1:H$767,8,FALSE)</f>
        <v>2</v>
      </c>
      <c r="J152" s="67"/>
      <c r="K152" s="68">
        <f>IF(VLOOKUP(D152,A!A$1:H$767,4,FALSE)="y",1,0)</f>
        <v>0</v>
      </c>
      <c r="L152" s="68">
        <f>IF(VLOOKUP(D152,A!A$1:H$767,5,FALSE)="y",1,0)</f>
        <v>0</v>
      </c>
      <c r="M152" s="711"/>
      <c r="N152" s="67">
        <f>VLOOKUP(D152,A!A$1:H$767,6,FALSE)</f>
        <v>0</v>
      </c>
      <c r="O152" s="93">
        <v>1</v>
      </c>
      <c r="P152" s="10">
        <f>VLOOKUP(D152,A!A$1:G$767,2,FALSE)</f>
        <v>0</v>
      </c>
      <c r="Q152" s="10" t="s">
        <v>57</v>
      </c>
      <c r="R152" s="10">
        <f t="shared" si="17"/>
        <v>0</v>
      </c>
      <c r="S152" s="10" t="str">
        <f>VLOOKUP(D152,A!A$1:AK$767,31,FALSE)</f>
        <v/>
      </c>
      <c r="T152" s="10">
        <v>0.2</v>
      </c>
      <c r="U152" s="10">
        <f t="shared" si="18"/>
        <v>0</v>
      </c>
      <c r="X152" s="10"/>
    </row>
    <row r="153" spans="1:24" ht="11.25" hidden="1" customHeight="1" x14ac:dyDescent="0.25">
      <c r="A153" s="1" t="str">
        <f>IF(R153=0,"",COUNTIF(A$23:A152,"&gt;0")+1)</f>
        <v/>
      </c>
      <c r="B153" s="87"/>
      <c r="C153" s="63" t="s">
        <v>51</v>
      </c>
      <c r="D153" s="88" t="s">
        <v>246</v>
      </c>
      <c r="E153" s="65"/>
      <c r="F153" s="65"/>
      <c r="G153" s="89" t="s">
        <v>242</v>
      </c>
      <c r="H153" s="90" t="s">
        <v>247</v>
      </c>
      <c r="I153" s="67">
        <f>VLOOKUP(D153,A!A$1:H$767,8,FALSE)</f>
        <v>2</v>
      </c>
      <c r="J153" s="67"/>
      <c r="K153" s="68">
        <f>IF(VLOOKUP(D153,A!A$1:H$767,4,FALSE)="y",1,0)</f>
        <v>0</v>
      </c>
      <c r="L153" s="68">
        <f>IF(VLOOKUP(D153,A!A$1:H$767,5,FALSE)="y",1,0)</f>
        <v>0</v>
      </c>
      <c r="M153" s="711"/>
      <c r="N153" s="67">
        <f>VLOOKUP(D153,A!A$1:H$767,6,FALSE)</f>
        <v>0</v>
      </c>
      <c r="O153" s="93">
        <v>1</v>
      </c>
      <c r="P153" s="10">
        <f>VLOOKUP(D153,A!A$1:G$767,2,FALSE)</f>
        <v>0</v>
      </c>
      <c r="Q153" s="10" t="s">
        <v>57</v>
      </c>
      <c r="R153" s="10">
        <f t="shared" si="17"/>
        <v>0</v>
      </c>
      <c r="S153" s="10">
        <f>VLOOKUP(D153,A!A$1:AK$767,31,FALSE)</f>
        <v>35</v>
      </c>
      <c r="T153" s="10">
        <v>0.2</v>
      </c>
      <c r="U153" s="10">
        <f t="shared" si="18"/>
        <v>0</v>
      </c>
      <c r="X153" s="10"/>
    </row>
    <row r="154" spans="1:24" ht="11.25" hidden="1" customHeight="1" x14ac:dyDescent="0.25">
      <c r="A154" s="1" t="str">
        <f>IF(R154=0,"",COUNTIF(A$23:A153,"&gt;0")+1)</f>
        <v/>
      </c>
      <c r="B154" s="87"/>
      <c r="C154" s="63" t="s">
        <v>51</v>
      </c>
      <c r="D154" s="88" t="s">
        <v>248</v>
      </c>
      <c r="E154" s="65"/>
      <c r="F154" s="65"/>
      <c r="G154" s="89"/>
      <c r="H154" s="90"/>
      <c r="I154" s="67">
        <f>VLOOKUP(D154,A!A$1:H$767,8,FALSE)</f>
        <v>0</v>
      </c>
      <c r="J154" s="67"/>
      <c r="K154" s="68">
        <f>IF(VLOOKUP(D154,A!A$1:H$767,4,FALSE)="y",1,0)</f>
        <v>0</v>
      </c>
      <c r="L154" s="68">
        <f>IF(VLOOKUP(D154,A!A$1:H$767,5,FALSE)="y",1,0)</f>
        <v>0</v>
      </c>
      <c r="M154" s="711"/>
      <c r="N154" s="67">
        <f>VLOOKUP(D154,A!A$1:H$767,6,FALSE)</f>
        <v>0</v>
      </c>
      <c r="O154" s="93"/>
      <c r="P154" s="10">
        <f>VLOOKUP(D154,A!A$1:G$767,2,FALSE)</f>
        <v>0</v>
      </c>
      <c r="Q154" s="10" t="s">
        <v>57</v>
      </c>
      <c r="R154" s="10">
        <f t="shared" si="17"/>
        <v>0</v>
      </c>
      <c r="S154" s="10" t="str">
        <f>VLOOKUP(D154,A!A$1:AK$767,31,FALSE)</f>
        <v/>
      </c>
      <c r="T154" s="10">
        <v>0.2</v>
      </c>
      <c r="U154" s="10">
        <f t="shared" si="18"/>
        <v>0</v>
      </c>
      <c r="X154" s="10"/>
    </row>
    <row r="155" spans="1:24" ht="11.25" hidden="1" customHeight="1" x14ac:dyDescent="0.25">
      <c r="A155" s="1" t="str">
        <f>IF(R155=0,"",COUNTIF(A$23:A154,"&gt;0")+1)</f>
        <v/>
      </c>
      <c r="B155" s="87"/>
      <c r="C155" s="63" t="s">
        <v>51</v>
      </c>
      <c r="D155" s="88" t="s">
        <v>249</v>
      </c>
      <c r="E155" s="65"/>
      <c r="F155" s="65"/>
      <c r="G155" s="89" t="s">
        <v>242</v>
      </c>
      <c r="H155" s="90" t="s">
        <v>250</v>
      </c>
      <c r="I155" s="67">
        <f>VLOOKUP(D155,A!A$1:H$767,8,FALSE)</f>
        <v>2</v>
      </c>
      <c r="J155" s="67"/>
      <c r="K155" s="68">
        <f>IF(VLOOKUP(D155,A!A$1:H$767,4,FALSE)="y",1,0)</f>
        <v>0</v>
      </c>
      <c r="L155" s="68">
        <f>IF(VLOOKUP(D155,A!A$1:H$767,5,FALSE)="y",1,0)</f>
        <v>0</v>
      </c>
      <c r="M155" s="711"/>
      <c r="N155" s="67">
        <f>VLOOKUP(D155,A!A$1:H$767,6,FALSE)</f>
        <v>0</v>
      </c>
      <c r="O155" s="93">
        <v>1</v>
      </c>
      <c r="P155" s="10">
        <f>VLOOKUP(D155,A!A$1:G$767,2,FALSE)</f>
        <v>0</v>
      </c>
      <c r="Q155" s="10" t="s">
        <v>57</v>
      </c>
      <c r="R155" s="10">
        <f t="shared" si="17"/>
        <v>0</v>
      </c>
      <c r="S155" s="10">
        <f>VLOOKUP(D155,A!A$1:AK$767,31,FALSE)</f>
        <v>35</v>
      </c>
      <c r="T155" s="10">
        <v>0.2</v>
      </c>
      <c r="U155" s="10">
        <f t="shared" si="18"/>
        <v>0</v>
      </c>
      <c r="X155" s="10"/>
    </row>
    <row r="156" spans="1:24" ht="11.25" hidden="1" customHeight="1" x14ac:dyDescent="0.25">
      <c r="A156" s="1" t="str">
        <f>IF(R156=0,"",COUNTIF(A$23:A155,"&gt;0")+1)</f>
        <v/>
      </c>
      <c r="B156" s="87"/>
      <c r="C156" s="63" t="s">
        <v>51</v>
      </c>
      <c r="D156" s="88" t="s">
        <v>251</v>
      </c>
      <c r="E156" s="65"/>
      <c r="F156" s="65"/>
      <c r="G156" s="89" t="s">
        <v>242</v>
      </c>
      <c r="H156" s="90" t="s">
        <v>252</v>
      </c>
      <c r="I156" s="67">
        <f>VLOOKUP(D156,A!A$1:H$767,8,FALSE)</f>
        <v>2</v>
      </c>
      <c r="J156" s="67"/>
      <c r="K156" s="68">
        <f>IF(VLOOKUP(D156,A!A$1:H$767,4,FALSE)="y",1,0)</f>
        <v>0</v>
      </c>
      <c r="L156" s="68">
        <f>IF(VLOOKUP(D156,A!A$1:H$767,5,FALSE)="y",1,0)</f>
        <v>0</v>
      </c>
      <c r="M156" s="711"/>
      <c r="N156" s="67">
        <f>VLOOKUP(D156,A!A$1:H$767,6,FALSE)</f>
        <v>0</v>
      </c>
      <c r="O156" s="93">
        <v>1</v>
      </c>
      <c r="P156" s="10">
        <f>VLOOKUP(D156,A!A$1:G$767,2,FALSE)</f>
        <v>0</v>
      </c>
      <c r="Q156" s="10" t="s">
        <v>57</v>
      </c>
      <c r="R156" s="10">
        <f t="shared" si="17"/>
        <v>0</v>
      </c>
      <c r="S156" s="10">
        <f>VLOOKUP(D156,A!A$1:AK$767,31,FALSE)</f>
        <v>35</v>
      </c>
      <c r="T156" s="10">
        <v>0.2</v>
      </c>
      <c r="U156" s="10">
        <f t="shared" si="18"/>
        <v>0</v>
      </c>
      <c r="X156" s="10"/>
    </row>
    <row r="157" spans="1:24" ht="11.25" hidden="1" customHeight="1" x14ac:dyDescent="0.25">
      <c r="A157" s="1" t="str">
        <f>IF(R157=0,"",COUNTIF(A$23:A156,"&gt;0")+1)</f>
        <v/>
      </c>
      <c r="B157" s="87"/>
      <c r="C157" s="63" t="s">
        <v>51</v>
      </c>
      <c r="D157" s="88" t="s">
        <v>253</v>
      </c>
      <c r="E157" s="65"/>
      <c r="F157" s="65"/>
      <c r="G157" s="89" t="s">
        <v>242</v>
      </c>
      <c r="H157" s="90" t="s">
        <v>254</v>
      </c>
      <c r="I157" s="67">
        <f>VLOOKUP(D157,A!A$1:H$767,8,FALSE)</f>
        <v>2</v>
      </c>
      <c r="J157" s="67"/>
      <c r="K157" s="68">
        <f>IF(VLOOKUP(D157,A!A$1:H$767,4,FALSE)="y",1,0)</f>
        <v>0</v>
      </c>
      <c r="L157" s="68">
        <f>IF(VLOOKUP(D157,A!A$1:H$767,5,FALSE)="y",1,0)</f>
        <v>0</v>
      </c>
      <c r="M157" s="711"/>
      <c r="N157" s="67">
        <f>VLOOKUP(D157,A!A$1:H$767,6,FALSE)</f>
        <v>0</v>
      </c>
      <c r="O157" s="93">
        <v>1</v>
      </c>
      <c r="P157" s="10">
        <f>VLOOKUP(D157,A!A$1:G$767,2,FALSE)</f>
        <v>0</v>
      </c>
      <c r="Q157" s="10" t="s">
        <v>57</v>
      </c>
      <c r="R157" s="10">
        <f t="shared" si="17"/>
        <v>0</v>
      </c>
      <c r="S157" s="10" t="str">
        <f>VLOOKUP(D157,A!A$1:AK$767,31,FALSE)</f>
        <v/>
      </c>
      <c r="T157" s="10">
        <v>0.2</v>
      </c>
      <c r="U157" s="10">
        <f t="shared" si="18"/>
        <v>0</v>
      </c>
      <c r="X157" s="10"/>
    </row>
    <row r="158" spans="1:24" ht="11.25" hidden="1" customHeight="1" x14ac:dyDescent="0.25">
      <c r="A158" s="1" t="str">
        <f>IF(R158=0,"",COUNTIF(A$23:A157,"&gt;0")+1)</f>
        <v/>
      </c>
      <c r="B158" s="87"/>
      <c r="C158" s="63" t="s">
        <v>51</v>
      </c>
      <c r="D158" s="88" t="s">
        <v>255</v>
      </c>
      <c r="E158" s="65"/>
      <c r="F158" s="65"/>
      <c r="G158" s="89" t="s">
        <v>242</v>
      </c>
      <c r="H158" s="90" t="s">
        <v>256</v>
      </c>
      <c r="I158" s="67">
        <f>VLOOKUP(D158,A!A$1:H$767,8,FALSE)</f>
        <v>2</v>
      </c>
      <c r="J158" s="67"/>
      <c r="K158" s="68">
        <f>IF(VLOOKUP(D158,A!A$1:H$767,4,FALSE)="y",1,0)</f>
        <v>0</v>
      </c>
      <c r="L158" s="68">
        <f>IF(VLOOKUP(D158,A!A$1:H$767,5,FALSE)="y",1,0)</f>
        <v>0</v>
      </c>
      <c r="M158" s="711"/>
      <c r="N158" s="67">
        <f>VLOOKUP(D158,A!A$1:H$767,6,FALSE)</f>
        <v>0</v>
      </c>
      <c r="O158" s="93">
        <v>1</v>
      </c>
      <c r="P158" s="10">
        <f>VLOOKUP(D158,A!A$1:G$767,2,FALSE)</f>
        <v>0</v>
      </c>
      <c r="Q158" s="10" t="s">
        <v>57</v>
      </c>
      <c r="R158" s="10">
        <f t="shared" si="17"/>
        <v>0</v>
      </c>
      <c r="S158" s="10" t="str">
        <f>VLOOKUP(D158,A!A$1:AK$767,31,FALSE)</f>
        <v/>
      </c>
      <c r="T158" s="10">
        <v>0.2</v>
      </c>
      <c r="U158" s="10">
        <f t="shared" si="18"/>
        <v>0</v>
      </c>
      <c r="X158" s="10"/>
    </row>
    <row r="159" spans="1:24" ht="11.25" hidden="1" customHeight="1" x14ac:dyDescent="0.25">
      <c r="A159" s="1" t="str">
        <f>IF(R159=0,"",COUNTIF(A$23:A158,"&gt;0")+1)</f>
        <v/>
      </c>
      <c r="B159" s="87"/>
      <c r="C159" s="63" t="s">
        <v>51</v>
      </c>
      <c r="D159" s="88" t="s">
        <v>257</v>
      </c>
      <c r="E159" s="65"/>
      <c r="F159" s="65"/>
      <c r="G159" s="89" t="s">
        <v>242</v>
      </c>
      <c r="H159" s="90" t="s">
        <v>256</v>
      </c>
      <c r="I159" s="67">
        <f>VLOOKUP(D159,A!A$1:H$767,8,FALSE)</f>
        <v>2</v>
      </c>
      <c r="J159" s="67"/>
      <c r="K159" s="68">
        <f>IF(VLOOKUP(D159,A!A$1:H$767,4,FALSE)="y",1,0)</f>
        <v>0</v>
      </c>
      <c r="L159" s="68">
        <f>IF(VLOOKUP(D159,A!A$1:H$767,5,FALSE)="y",1,0)</f>
        <v>0</v>
      </c>
      <c r="M159" s="711"/>
      <c r="N159" s="67">
        <f>VLOOKUP(D159,A!A$1:H$767,6,FALSE)</f>
        <v>0</v>
      </c>
      <c r="O159" s="93">
        <v>1</v>
      </c>
      <c r="P159" s="10">
        <f>VLOOKUP(D159,A!A$1:G$767,2,FALSE)</f>
        <v>0</v>
      </c>
      <c r="Q159" s="10" t="s">
        <v>57</v>
      </c>
      <c r="R159" s="10">
        <f t="shared" si="17"/>
        <v>0</v>
      </c>
      <c r="S159" s="10">
        <f>VLOOKUP(D159,A!A$1:AK$767,31,FALSE)</f>
        <v>35</v>
      </c>
      <c r="T159" s="10">
        <v>0.2</v>
      </c>
      <c r="U159" s="10">
        <f t="shared" si="18"/>
        <v>0</v>
      </c>
      <c r="X159" s="10"/>
    </row>
    <row r="160" spans="1:24" ht="11.25" hidden="1" customHeight="1" x14ac:dyDescent="0.25">
      <c r="A160" s="1" t="str">
        <f>IF(R160=0,"",COUNTIF(A$23:A159,"&gt;0")+1)</f>
        <v/>
      </c>
      <c r="B160" s="87"/>
      <c r="C160" s="63" t="s">
        <v>51</v>
      </c>
      <c r="D160" s="88" t="s">
        <v>258</v>
      </c>
      <c r="E160" s="65"/>
      <c r="F160" s="65"/>
      <c r="G160" s="89" t="s">
        <v>259</v>
      </c>
      <c r="H160" s="90" t="s">
        <v>260</v>
      </c>
      <c r="I160" s="67">
        <f>VLOOKUP(D160,A!A$1:H$767,8,FALSE)</f>
        <v>0</v>
      </c>
      <c r="J160" s="67"/>
      <c r="K160" s="68">
        <f>IF(VLOOKUP(D160,A!A$1:H$767,4,FALSE)="y",1,0)</f>
        <v>0</v>
      </c>
      <c r="L160" s="68">
        <f>IF(VLOOKUP(D160,A!A$1:H$767,5,FALSE)="y",1,0)</f>
        <v>0</v>
      </c>
      <c r="M160" s="711"/>
      <c r="N160" s="67">
        <f>VLOOKUP(D160,A!A$1:H$767,6,FALSE)</f>
        <v>0</v>
      </c>
      <c r="O160" s="93">
        <v>2</v>
      </c>
      <c r="P160" s="10">
        <f>VLOOKUP(D160,A!A$1:G$767,2,FALSE)</f>
        <v>0</v>
      </c>
      <c r="Q160" s="10" t="s">
        <v>57</v>
      </c>
      <c r="R160" s="10">
        <f t="shared" si="17"/>
        <v>0</v>
      </c>
      <c r="S160" s="10" t="str">
        <f>VLOOKUP(D160,A!A$1:AK$767,31,FALSE)</f>
        <v/>
      </c>
      <c r="T160" s="10">
        <v>0.2</v>
      </c>
      <c r="U160" s="10">
        <f t="shared" si="18"/>
        <v>0</v>
      </c>
      <c r="X160" s="10"/>
    </row>
    <row r="161" spans="1:24" ht="11.25" customHeight="1" x14ac:dyDescent="0.25">
      <c r="A161" s="1" t="str">
        <f>IF(R161=0,"",COUNTIF(A$23:A160,"&gt;0")+1)</f>
        <v/>
      </c>
      <c r="B161" s="87"/>
      <c r="C161" s="63" t="s">
        <v>51</v>
      </c>
      <c r="D161" s="88" t="s">
        <v>261</v>
      </c>
      <c r="E161" s="65"/>
      <c r="F161" s="65"/>
      <c r="G161" s="89" t="s">
        <v>259</v>
      </c>
      <c r="H161" s="90" t="s">
        <v>262</v>
      </c>
      <c r="I161" s="67">
        <f>VLOOKUP(D161,A!A$1:H$767,8,FALSE)</f>
        <v>1</v>
      </c>
      <c r="J161" s="67"/>
      <c r="K161" s="68">
        <f>IF(VLOOKUP(D161,A!A$1:H$767,4,FALSE)="y",1,0)</f>
        <v>1</v>
      </c>
      <c r="L161" s="68">
        <f>IF(VLOOKUP(D161,A!A$1:H$767,5,FALSE)="y",1,0)</f>
        <v>0</v>
      </c>
      <c r="M161" s="711"/>
      <c r="N161" s="67"/>
      <c r="O161" s="93">
        <v>2</v>
      </c>
      <c r="P161" s="10" t="str">
        <f>VLOOKUP(D161,A!A$1:G$767,2,FALSE)</f>
        <v>y</v>
      </c>
      <c r="Q161" s="10" t="s">
        <v>57</v>
      </c>
      <c r="R161" s="10">
        <f t="shared" si="17"/>
        <v>0</v>
      </c>
      <c r="S161" s="10">
        <f>VLOOKUP(D161,A!A$1:AK$767,31,FALSE)</f>
        <v>35</v>
      </c>
      <c r="T161" s="10">
        <v>0.2</v>
      </c>
      <c r="U161" s="10">
        <f t="shared" si="18"/>
        <v>0</v>
      </c>
      <c r="X161" s="10"/>
    </row>
    <row r="162" spans="1:24" ht="11.25" hidden="1" customHeight="1" x14ac:dyDescent="0.25">
      <c r="A162" s="1" t="str">
        <f>IF(R162=0,"",COUNTIF(A$23:A161,"&gt;0")+1)</f>
        <v/>
      </c>
      <c r="B162" s="87"/>
      <c r="C162" s="63" t="s">
        <v>51</v>
      </c>
      <c r="D162" s="88" t="s">
        <v>263</v>
      </c>
      <c r="E162" s="65"/>
      <c r="F162" s="65"/>
      <c r="G162" s="89" t="s">
        <v>259</v>
      </c>
      <c r="H162" s="90" t="s">
        <v>264</v>
      </c>
      <c r="I162" s="67">
        <f>VLOOKUP(D162,A!A$1:H$767,8,FALSE)</f>
        <v>1</v>
      </c>
      <c r="J162" s="67"/>
      <c r="K162" s="68">
        <f>IF(VLOOKUP(D162,A!A$1:H$767,4,FALSE)="y",1,0)</f>
        <v>0</v>
      </c>
      <c r="L162" s="68">
        <f>IF(VLOOKUP(D162,A!A$1:H$767,5,FALSE)="y",1,0)</f>
        <v>0</v>
      </c>
      <c r="M162" s="711"/>
      <c r="N162" s="67">
        <f>VLOOKUP(D162,A!A$1:H$767,6,FALSE)</f>
        <v>0</v>
      </c>
      <c r="O162" s="93">
        <v>2</v>
      </c>
      <c r="P162" s="10">
        <f>VLOOKUP(D162,A!A$1:G$767,2,FALSE)</f>
        <v>0</v>
      </c>
      <c r="Q162" s="10" t="s">
        <v>57</v>
      </c>
      <c r="R162" s="10">
        <f t="shared" si="17"/>
        <v>0</v>
      </c>
      <c r="S162" s="10">
        <v>35</v>
      </c>
      <c r="T162" s="10">
        <v>0.2</v>
      </c>
      <c r="U162" s="10">
        <f t="shared" si="18"/>
        <v>0</v>
      </c>
      <c r="X162" s="10"/>
    </row>
    <row r="163" spans="1:24" ht="11.25" hidden="1" customHeight="1" x14ac:dyDescent="0.25">
      <c r="A163" s="1" t="str">
        <f>IF(R163=0,"",COUNTIF(A$23:A162,"&gt;0")+1)</f>
        <v/>
      </c>
      <c r="B163" s="87"/>
      <c r="C163" s="63" t="s">
        <v>51</v>
      </c>
      <c r="D163" s="88" t="s">
        <v>265</v>
      </c>
      <c r="E163" s="65"/>
      <c r="F163" s="65"/>
      <c r="G163" s="89" t="s">
        <v>259</v>
      </c>
      <c r="H163" s="90" t="s">
        <v>266</v>
      </c>
      <c r="I163" s="67">
        <f>VLOOKUP(D163,A!A$1:H$767,8,FALSE)</f>
        <v>1</v>
      </c>
      <c r="J163" s="67"/>
      <c r="K163" s="68">
        <f>IF(VLOOKUP(D163,A!A$1:H$767,4,FALSE)="y",1,0)</f>
        <v>0</v>
      </c>
      <c r="L163" s="68">
        <f>IF(VLOOKUP(D163,A!A$1:H$767,5,FALSE)="y",1,0)</f>
        <v>0</v>
      </c>
      <c r="M163" s="711"/>
      <c r="N163" s="67">
        <f>VLOOKUP(D163,A!A$1:H$767,6,FALSE)</f>
        <v>0</v>
      </c>
      <c r="O163" s="93">
        <v>2</v>
      </c>
      <c r="P163" s="10">
        <f>VLOOKUP(D163,A!A$1:G$767,2,FALSE)</f>
        <v>0</v>
      </c>
      <c r="Q163" s="10" t="s">
        <v>57</v>
      </c>
      <c r="R163" s="10">
        <f t="shared" si="17"/>
        <v>0</v>
      </c>
      <c r="S163" s="10" t="str">
        <f>VLOOKUP(D163,A!A$1:AK$767,31,FALSE)</f>
        <v/>
      </c>
      <c r="T163" s="10">
        <v>0.2</v>
      </c>
      <c r="U163" s="10">
        <f t="shared" si="18"/>
        <v>0</v>
      </c>
      <c r="X163" s="10"/>
    </row>
    <row r="164" spans="1:24" ht="11.25" customHeight="1" x14ac:dyDescent="0.25">
      <c r="A164" s="1" t="str">
        <f>IF(R164=0,"",COUNTIF(A$23:A163,"&gt;0")+1)</f>
        <v/>
      </c>
      <c r="B164" s="87"/>
      <c r="C164" s="63" t="s">
        <v>51</v>
      </c>
      <c r="D164" s="88" t="s">
        <v>267</v>
      </c>
      <c r="E164" s="95"/>
      <c r="F164" s="65"/>
      <c r="G164" s="89" t="s">
        <v>268</v>
      </c>
      <c r="H164" s="90" t="s">
        <v>269</v>
      </c>
      <c r="I164" s="67">
        <f>VLOOKUP(D164,A!A$1:H$767,8,FALSE)</f>
        <v>3</v>
      </c>
      <c r="J164" s="67" t="s">
        <v>63</v>
      </c>
      <c r="K164" s="68">
        <f>IF(VLOOKUP(D164,A!A$1:H$767,4,FALSE)="y",1,0)</f>
        <v>1</v>
      </c>
      <c r="L164" s="68">
        <f>IF(VLOOKUP(D164,A!A$1:H$767,5,FALSE)="y",1,0)</f>
        <v>1</v>
      </c>
      <c r="M164" s="711"/>
      <c r="N164" s="67">
        <f>VLOOKUP(D164,A!A$1:H$767,6,FALSE)</f>
        <v>0</v>
      </c>
      <c r="O164" s="93" t="s">
        <v>73</v>
      </c>
      <c r="P164" s="10" t="str">
        <f>VLOOKUP(D164,A!A$1:G$767,2,FALSE)</f>
        <v>Y</v>
      </c>
      <c r="Q164" s="10" t="s">
        <v>57</v>
      </c>
      <c r="R164" s="10">
        <f t="shared" si="17"/>
        <v>0</v>
      </c>
      <c r="S164" s="10">
        <f>VLOOKUP(D164,A!A$1:AK$767,31,FALSE)</f>
        <v>55</v>
      </c>
      <c r="T164" s="10">
        <v>0.2</v>
      </c>
      <c r="U164" s="10">
        <f t="shared" si="18"/>
        <v>0</v>
      </c>
      <c r="X164" s="10"/>
    </row>
    <row r="165" spans="1:24" ht="11.25" hidden="1" customHeight="1" x14ac:dyDescent="0.25">
      <c r="A165" s="1" t="str">
        <f>IF(R165=0,"",COUNTIF(A$23:A164,"&gt;0")+1)</f>
        <v/>
      </c>
      <c r="B165" s="87"/>
      <c r="C165" s="63" t="s">
        <v>51</v>
      </c>
      <c r="D165" s="88" t="s">
        <v>270</v>
      </c>
      <c r="E165" s="65"/>
      <c r="F165" s="65"/>
      <c r="G165" s="89" t="s">
        <v>271</v>
      </c>
      <c r="H165" s="90" t="s">
        <v>272</v>
      </c>
      <c r="I165" s="67">
        <f>VLOOKUP(D165,A!A$1:H$767,8,FALSE)</f>
        <v>2</v>
      </c>
      <c r="J165" s="67"/>
      <c r="K165" s="68">
        <f>IF(VLOOKUP(D165,A!A$1:H$767,4,FALSE)="y",1,0)</f>
        <v>0</v>
      </c>
      <c r="L165" s="68">
        <f>IF(VLOOKUP(D165,A!A$1:H$767,5,FALSE)="y",1,0)</f>
        <v>0</v>
      </c>
      <c r="M165" s="711"/>
      <c r="N165" s="67">
        <f>VLOOKUP(D165,A!A$1:H$767,6,FALSE)</f>
        <v>0</v>
      </c>
      <c r="O165" s="93" t="s">
        <v>73</v>
      </c>
      <c r="P165" s="10">
        <f>VLOOKUP(D165,A!A$1:G$767,2,FALSE)</f>
        <v>0</v>
      </c>
      <c r="Q165" s="10" t="s">
        <v>57</v>
      </c>
      <c r="R165" s="10">
        <f t="shared" si="17"/>
        <v>0</v>
      </c>
      <c r="S165" s="10">
        <f>VLOOKUP(D165,A!A$1:AK$767,31,FALSE)</f>
        <v>35</v>
      </c>
      <c r="T165" s="10">
        <v>0.2</v>
      </c>
      <c r="U165" s="10">
        <f t="shared" si="18"/>
        <v>0</v>
      </c>
      <c r="X165" s="10"/>
    </row>
    <row r="166" spans="1:24" ht="11.25" hidden="1" customHeight="1" x14ac:dyDescent="0.25">
      <c r="A166" s="1" t="str">
        <f>IF(R166=0,"",COUNTIF(A$23:A165,"&gt;0")+1)</f>
        <v/>
      </c>
      <c r="B166" s="87"/>
      <c r="C166" s="63" t="s">
        <v>51</v>
      </c>
      <c r="D166" s="88" t="s">
        <v>273</v>
      </c>
      <c r="E166" s="65"/>
      <c r="F166" s="65"/>
      <c r="G166" s="89" t="s">
        <v>274</v>
      </c>
      <c r="H166" s="90" t="s">
        <v>275</v>
      </c>
      <c r="I166" s="67">
        <f>VLOOKUP(D166,A!A$1:H$767,8,FALSE)</f>
        <v>2</v>
      </c>
      <c r="J166" s="67"/>
      <c r="K166" s="68">
        <f>IF(VLOOKUP(D166,A!A$1:H$767,4,FALSE)="y",1,0)</f>
        <v>0</v>
      </c>
      <c r="L166" s="68">
        <f>IF(VLOOKUP(D166,A!A$1:H$767,5,FALSE)="y",1,0)</f>
        <v>0</v>
      </c>
      <c r="M166" s="711"/>
      <c r="N166" s="67">
        <f>VLOOKUP(D166,A!A$1:H$767,6,FALSE)</f>
        <v>0</v>
      </c>
      <c r="O166" s="93" t="s">
        <v>73</v>
      </c>
      <c r="P166" s="10">
        <f>VLOOKUP(D166,A!A$1:G$767,2,FALSE)</f>
        <v>0</v>
      </c>
      <c r="Q166" s="10" t="s">
        <v>57</v>
      </c>
      <c r="R166" s="10">
        <f t="shared" si="17"/>
        <v>0</v>
      </c>
      <c r="S166" s="10">
        <f>VLOOKUP(D166,A!A$1:AK$767,31,FALSE)</f>
        <v>35</v>
      </c>
      <c r="T166" s="10">
        <v>0.2</v>
      </c>
      <c r="U166" s="10">
        <f t="shared" si="18"/>
        <v>0</v>
      </c>
      <c r="X166" s="10"/>
    </row>
    <row r="167" spans="1:24" ht="12" customHeight="1" x14ac:dyDescent="0.25">
      <c r="A167" s="1" t="str">
        <f>IF(R167=0,"",COUNTIF(A$23:A166,"&gt;0")+1)</f>
        <v/>
      </c>
      <c r="B167" s="87"/>
      <c r="C167" s="63" t="s">
        <v>51</v>
      </c>
      <c r="D167" s="88" t="s">
        <v>276</v>
      </c>
      <c r="E167" s="65"/>
      <c r="F167" s="65"/>
      <c r="G167" s="89" t="s">
        <v>277</v>
      </c>
      <c r="H167" s="90" t="s">
        <v>278</v>
      </c>
      <c r="I167" s="67">
        <f>VLOOKUP(D167,A!A$1:H$767,8,FALSE)</f>
        <v>3</v>
      </c>
      <c r="J167" s="67" t="s">
        <v>63</v>
      </c>
      <c r="K167" s="68">
        <f>IF(VLOOKUP(D167,A!A$1:H$767,4,FALSE)="y",1,0)</f>
        <v>1</v>
      </c>
      <c r="L167" s="68">
        <f>IF(VLOOKUP(D167,A!A$1:H$767,5,FALSE)="y",1,0)</f>
        <v>1</v>
      </c>
      <c r="M167" s="711"/>
      <c r="N167" s="67">
        <f>VLOOKUP(D167,A!A$1:H$767,6,FALSE)</f>
        <v>0</v>
      </c>
      <c r="O167" s="93" t="s">
        <v>73</v>
      </c>
      <c r="P167" s="10" t="str">
        <f>VLOOKUP(D167,A!A$1:G$767,2,FALSE)</f>
        <v>y</v>
      </c>
      <c r="Q167" s="10" t="s">
        <v>57</v>
      </c>
      <c r="R167" s="10">
        <f t="shared" si="17"/>
        <v>0</v>
      </c>
      <c r="S167" s="10">
        <f>VLOOKUP(D167,A!A$1:AK$767,31,FALSE)</f>
        <v>55</v>
      </c>
      <c r="T167" s="10">
        <v>0.2</v>
      </c>
      <c r="U167" s="10">
        <f t="shared" si="18"/>
        <v>0</v>
      </c>
      <c r="X167" s="10"/>
    </row>
    <row r="168" spans="1:24" ht="11.25" hidden="1" customHeight="1" x14ac:dyDescent="0.25">
      <c r="A168" s="1" t="str">
        <f>IF(R168=0,"",COUNTIF(A$23:A167,"&gt;0")+1)</f>
        <v/>
      </c>
      <c r="B168" s="87"/>
      <c r="C168" s="63" t="s">
        <v>51</v>
      </c>
      <c r="D168" s="88" t="s">
        <v>279</v>
      </c>
      <c r="E168" s="65"/>
      <c r="F168" s="65"/>
      <c r="G168" s="89" t="s">
        <v>280</v>
      </c>
      <c r="H168" s="90" t="s">
        <v>281</v>
      </c>
      <c r="I168" s="67">
        <f>VLOOKUP(D168,A!A$1:H$767,8,FALSE)</f>
        <v>1</v>
      </c>
      <c r="J168" s="67"/>
      <c r="K168" s="68">
        <f>IF(VLOOKUP(D168,A!A$1:H$767,4,FALSE)="y",1,0)</f>
        <v>0</v>
      </c>
      <c r="L168" s="68">
        <f>IF(VLOOKUP(D168,A!A$1:H$767,5,FALSE)="y",1,0)</f>
        <v>0</v>
      </c>
      <c r="M168" s="711"/>
      <c r="N168" s="67">
        <f>VLOOKUP(D168,A!A$1:H$767,6,FALSE)</f>
        <v>0</v>
      </c>
      <c r="O168" s="93">
        <v>1</v>
      </c>
      <c r="P168" s="10">
        <f>VLOOKUP(D168,A!A$1:G$767,2,FALSE)</f>
        <v>0</v>
      </c>
      <c r="Q168" s="10" t="s">
        <v>57</v>
      </c>
      <c r="R168" s="10">
        <f t="shared" si="17"/>
        <v>0</v>
      </c>
      <c r="S168" s="10" t="str">
        <f>VLOOKUP(D168,A!A$1:AK$767,31,FALSE)</f>
        <v/>
      </c>
      <c r="T168" s="10">
        <v>0.2</v>
      </c>
      <c r="U168" s="10">
        <f t="shared" si="18"/>
        <v>0</v>
      </c>
      <c r="X168" s="10"/>
    </row>
    <row r="169" spans="1:24" ht="11.25" hidden="1" customHeight="1" x14ac:dyDescent="0.25">
      <c r="A169" s="1" t="str">
        <f>IF(R169=0,"",COUNTIF(A$23:A168,"&gt;0")+1)</f>
        <v/>
      </c>
      <c r="B169" s="87"/>
      <c r="C169" s="63" t="s">
        <v>51</v>
      </c>
      <c r="D169" s="88" t="s">
        <v>282</v>
      </c>
      <c r="E169" s="65"/>
      <c r="F169" s="65"/>
      <c r="G169" s="89" t="s">
        <v>283</v>
      </c>
      <c r="H169" s="90" t="s">
        <v>284</v>
      </c>
      <c r="I169" s="67">
        <f>VLOOKUP(D169,A!A$1:H$767,8,FALSE)</f>
        <v>1</v>
      </c>
      <c r="J169" s="67"/>
      <c r="K169" s="68">
        <f>IF(VLOOKUP(D169,A!A$1:H$767,4,FALSE)="y",1,0)</f>
        <v>0</v>
      </c>
      <c r="L169" s="68">
        <f>IF(VLOOKUP(D169,A!A$1:H$767,5,FALSE)="y",1,0)</f>
        <v>0</v>
      </c>
      <c r="M169" s="711"/>
      <c r="N169" s="67">
        <f>VLOOKUP(D169,A!A$1:H$767,6,FALSE)</f>
        <v>0</v>
      </c>
      <c r="O169" s="93">
        <v>1</v>
      </c>
      <c r="P169" s="10">
        <f>VLOOKUP(D169,A!A$1:G$767,2,FALSE)</f>
        <v>0</v>
      </c>
      <c r="Q169" s="10" t="s">
        <v>57</v>
      </c>
      <c r="R169" s="10">
        <f t="shared" si="17"/>
        <v>0</v>
      </c>
      <c r="S169" s="10">
        <f>VLOOKUP(D169,A!A$1:AK$767,31,FALSE)</f>
        <v>35</v>
      </c>
      <c r="T169" s="10">
        <v>0.2</v>
      </c>
      <c r="U169" s="10">
        <f t="shared" si="18"/>
        <v>0</v>
      </c>
      <c r="X169" s="10"/>
    </row>
    <row r="170" spans="1:24" ht="11.25" hidden="1" customHeight="1" x14ac:dyDescent="0.25">
      <c r="A170" s="1" t="str">
        <f>IF(R170=0,"",COUNTIF(A$23:A169,"&gt;0")+1)</f>
        <v/>
      </c>
      <c r="B170" s="87"/>
      <c r="C170" s="63" t="s">
        <v>51</v>
      </c>
      <c r="D170" s="88" t="s">
        <v>285</v>
      </c>
      <c r="E170" s="65"/>
      <c r="F170" s="65"/>
      <c r="G170" s="89" t="s">
        <v>280</v>
      </c>
      <c r="H170" s="90" t="s">
        <v>286</v>
      </c>
      <c r="I170" s="67">
        <f>VLOOKUP(D170,A!A$1:H$767,8,FALSE)</f>
        <v>1</v>
      </c>
      <c r="J170" s="67"/>
      <c r="K170" s="68">
        <f>IF(VLOOKUP(D170,A!A$1:H$767,4,FALSE)="y",1,0)</f>
        <v>0</v>
      </c>
      <c r="L170" s="68">
        <f>IF(VLOOKUP(D170,A!A$1:H$767,5,FALSE)="y",1,0)</f>
        <v>0</v>
      </c>
      <c r="M170" s="711"/>
      <c r="N170" s="67">
        <f>VLOOKUP(D170,A!A$1:H$767,6,FALSE)</f>
        <v>0</v>
      </c>
      <c r="O170" s="93">
        <v>1</v>
      </c>
      <c r="P170" s="10">
        <f>VLOOKUP(D170,A!A$1:G$767,2,FALSE)</f>
        <v>0</v>
      </c>
      <c r="Q170" s="10" t="s">
        <v>57</v>
      </c>
      <c r="R170" s="10">
        <f t="shared" si="17"/>
        <v>0</v>
      </c>
      <c r="S170" s="10" t="str">
        <f>VLOOKUP(D170,A!A$1:AK$767,31,FALSE)</f>
        <v/>
      </c>
      <c r="T170" s="10">
        <v>0.2</v>
      </c>
      <c r="U170" s="10">
        <f t="shared" si="18"/>
        <v>0</v>
      </c>
      <c r="X170" s="10"/>
    </row>
    <row r="171" spans="1:24" ht="11.25" customHeight="1" x14ac:dyDescent="0.25">
      <c r="A171" s="1" t="str">
        <f>IF(R171=0,"",COUNTIF(A$23:A170,"&gt;0")+1)</f>
        <v/>
      </c>
      <c r="B171" s="87"/>
      <c r="C171" s="63" t="s">
        <v>51</v>
      </c>
      <c r="D171" s="88" t="s">
        <v>287</v>
      </c>
      <c r="E171" s="65"/>
      <c r="F171" s="65"/>
      <c r="G171" s="89" t="s">
        <v>283</v>
      </c>
      <c r="H171" s="90" t="s">
        <v>288</v>
      </c>
      <c r="I171" s="67">
        <f>VLOOKUP(D171,A!A$1:H$767,8,FALSE)</f>
        <v>1</v>
      </c>
      <c r="J171" s="67"/>
      <c r="K171" s="68">
        <f>IF(VLOOKUP(D171,A!A$1:H$767,4,FALSE)="y",1,0)</f>
        <v>1</v>
      </c>
      <c r="L171" s="68">
        <f>IF(VLOOKUP(D171,A!A$1:H$767,5,FALSE)="y",1,0)</f>
        <v>0</v>
      </c>
      <c r="M171" s="711" t="s">
        <v>726</v>
      </c>
      <c r="N171" s="67">
        <f>VLOOKUP(D171,A!A$1:H$767,6,FALSE)</f>
        <v>0</v>
      </c>
      <c r="O171" s="93" t="s">
        <v>73</v>
      </c>
      <c r="P171" s="10" t="str">
        <f>VLOOKUP(D171,A!A$1:G$767,2,FALSE)</f>
        <v>y</v>
      </c>
      <c r="Q171" s="10" t="s">
        <v>57</v>
      </c>
      <c r="R171" s="10">
        <f t="shared" si="17"/>
        <v>0</v>
      </c>
      <c r="S171" s="10">
        <f>VLOOKUP(D171,A!A$1:AK$767,31,FALSE)</f>
        <v>35</v>
      </c>
      <c r="T171" s="10">
        <v>0.2</v>
      </c>
      <c r="U171" s="10">
        <f t="shared" si="18"/>
        <v>0</v>
      </c>
      <c r="X171" s="10"/>
    </row>
    <row r="172" spans="1:24" ht="11.25" hidden="1" customHeight="1" x14ac:dyDescent="0.25">
      <c r="A172" s="1" t="str">
        <f>IF(R172=0,"",COUNTIF(A$23:A171,"&gt;0")+1)</f>
        <v/>
      </c>
      <c r="B172" s="87"/>
      <c r="C172" s="63" t="s">
        <v>51</v>
      </c>
      <c r="D172" s="88" t="s">
        <v>289</v>
      </c>
      <c r="E172" s="65"/>
      <c r="F172" s="65"/>
      <c r="G172" s="89" t="s">
        <v>290</v>
      </c>
      <c r="H172" s="90" t="s">
        <v>291</v>
      </c>
      <c r="I172" s="67">
        <f>VLOOKUP(D172,A!A$1:H$767,8,FALSE)</f>
        <v>2</v>
      </c>
      <c r="J172" s="67"/>
      <c r="K172" s="68">
        <f>IF(VLOOKUP(D172,A!A$1:H$767,4,FALSE)="y",1,0)</f>
        <v>0</v>
      </c>
      <c r="L172" s="68">
        <f>IF(VLOOKUP(D172,A!A$1:H$767,5,FALSE)="y",1,0)</f>
        <v>0</v>
      </c>
      <c r="M172" s="711"/>
      <c r="N172" s="67">
        <f>VLOOKUP(D172,A!A$1:H$767,6,FALSE)</f>
        <v>0</v>
      </c>
      <c r="O172" s="93">
        <v>1</v>
      </c>
      <c r="P172" s="10">
        <f>VLOOKUP(D172,A!A$1:G$767,2,FALSE)</f>
        <v>0</v>
      </c>
      <c r="Q172" s="10" t="s">
        <v>57</v>
      </c>
      <c r="R172" s="10">
        <f t="shared" si="17"/>
        <v>0</v>
      </c>
      <c r="S172" s="10">
        <f>VLOOKUP(D172,A!A$1:AK$767,31,FALSE)</f>
        <v>35</v>
      </c>
      <c r="T172" s="10">
        <v>0.2</v>
      </c>
      <c r="U172" s="10">
        <f t="shared" si="18"/>
        <v>0</v>
      </c>
      <c r="X172" s="10"/>
    </row>
    <row r="173" spans="1:24" ht="11.25" hidden="1" customHeight="1" x14ac:dyDescent="0.25">
      <c r="A173" s="1" t="str">
        <f>IF(R173=0,"",COUNTIF(A$23:A172,"&gt;0")+1)</f>
        <v/>
      </c>
      <c r="B173" s="87"/>
      <c r="C173" s="63" t="s">
        <v>51</v>
      </c>
      <c r="D173" s="88" t="s">
        <v>292</v>
      </c>
      <c r="E173" s="65"/>
      <c r="F173" s="65"/>
      <c r="G173" s="89" t="s">
        <v>290</v>
      </c>
      <c r="H173" s="90" t="s">
        <v>291</v>
      </c>
      <c r="I173" s="67">
        <f>VLOOKUP(D173,A!A$1:H$767,8,FALSE)</f>
        <v>1</v>
      </c>
      <c r="J173" s="67"/>
      <c r="K173" s="68">
        <f>IF(VLOOKUP(D173,A!A$1:H$767,4,FALSE)="y",1,0)</f>
        <v>0</v>
      </c>
      <c r="L173" s="68">
        <f>IF(VLOOKUP(D173,A!A$1:H$767,5,FALSE)="y",1,0)</f>
        <v>0</v>
      </c>
      <c r="M173" s="711"/>
      <c r="N173" s="67">
        <f>VLOOKUP(D173,A!A$1:H$767,6,FALSE)</f>
        <v>0</v>
      </c>
      <c r="O173" s="93">
        <v>2</v>
      </c>
      <c r="P173" s="10">
        <f>VLOOKUP(D173,A!A$1:G$767,2,FALSE)</f>
        <v>0</v>
      </c>
      <c r="Q173" s="10" t="s">
        <v>57</v>
      </c>
      <c r="R173" s="10">
        <f t="shared" si="17"/>
        <v>0</v>
      </c>
      <c r="S173" s="10">
        <f>VLOOKUP(D173,A!A$1:AK$767,31,FALSE)</f>
        <v>35</v>
      </c>
      <c r="T173" s="10">
        <v>1.2</v>
      </c>
      <c r="U173" s="10">
        <f t="shared" si="18"/>
        <v>0</v>
      </c>
      <c r="X173" s="10"/>
    </row>
    <row r="174" spans="1:24" ht="11.25" hidden="1" customHeight="1" x14ac:dyDescent="0.25">
      <c r="A174" s="1" t="str">
        <f>IF(R174=0,"",COUNTIF(A$23:A173,"&gt;0")+1)</f>
        <v/>
      </c>
      <c r="B174" s="87"/>
      <c r="C174" s="63" t="s">
        <v>51</v>
      </c>
      <c r="D174" s="88" t="s">
        <v>293</v>
      </c>
      <c r="E174" s="65"/>
      <c r="F174" s="65"/>
      <c r="G174" s="89" t="s">
        <v>294</v>
      </c>
      <c r="H174" s="90" t="s">
        <v>295</v>
      </c>
      <c r="I174" s="67">
        <f>VLOOKUP(D174,A!A$1:H$767,8,FALSE)</f>
        <v>1</v>
      </c>
      <c r="J174" s="67"/>
      <c r="K174" s="68">
        <f>IF(VLOOKUP(D174,A!A$1:H$767,4,FALSE)="y",1,0)</f>
        <v>0</v>
      </c>
      <c r="L174" s="68">
        <f>IF(VLOOKUP(D174,A!A$1:H$767,5,FALSE)="y",1,0)</f>
        <v>0</v>
      </c>
      <c r="M174" s="711"/>
      <c r="N174" s="67">
        <f>VLOOKUP(D174,A!A$1:H$767,6,FALSE)</f>
        <v>0</v>
      </c>
      <c r="O174" s="93">
        <v>3</v>
      </c>
      <c r="P174" s="10">
        <f>VLOOKUP(D174,A!A$1:G$767,2,FALSE)</f>
        <v>0</v>
      </c>
      <c r="Q174" s="10" t="s">
        <v>57</v>
      </c>
      <c r="R174" s="10">
        <f t="shared" si="17"/>
        <v>0</v>
      </c>
      <c r="S174" s="10">
        <f>VLOOKUP(D174,A!A$1:AK$767,31,FALSE)</f>
        <v>35</v>
      </c>
      <c r="T174" s="10">
        <v>0.2</v>
      </c>
      <c r="U174" s="10">
        <f t="shared" si="18"/>
        <v>0</v>
      </c>
      <c r="X174" s="10"/>
    </row>
    <row r="175" spans="1:24" ht="11.25" hidden="1" customHeight="1" x14ac:dyDescent="0.25">
      <c r="A175" s="1" t="str">
        <f>IF(R175=0,"",COUNTIF(A$23:A174,"&gt;0")+1)</f>
        <v/>
      </c>
      <c r="B175" s="87"/>
      <c r="C175" s="63" t="s">
        <v>51</v>
      </c>
      <c r="D175" s="88" t="s">
        <v>296</v>
      </c>
      <c r="E175" s="65"/>
      <c r="F175" s="65"/>
      <c r="G175" s="89" t="s">
        <v>297</v>
      </c>
      <c r="H175" s="90" t="s">
        <v>298</v>
      </c>
      <c r="I175" s="67">
        <f>VLOOKUP(D175,A!A$1:H$767,8,FALSE)</f>
        <v>1</v>
      </c>
      <c r="J175" s="67"/>
      <c r="K175" s="68">
        <f>IF(VLOOKUP(D175,A!A$1:H$767,4,FALSE)="y",1,0)</f>
        <v>0</v>
      </c>
      <c r="L175" s="68">
        <f>IF(VLOOKUP(D175,A!A$1:H$767,5,FALSE)="y",1,0)</f>
        <v>0</v>
      </c>
      <c r="M175" s="711"/>
      <c r="N175" s="67">
        <f>VLOOKUP(D175,A!A$1:H$767,6,FALSE)</f>
        <v>0</v>
      </c>
      <c r="O175" s="93" t="s">
        <v>73</v>
      </c>
      <c r="P175" s="10">
        <f>VLOOKUP(D175,A!A$1:G$767,2,FALSE)</f>
        <v>0</v>
      </c>
      <c r="Q175" s="10" t="s">
        <v>57</v>
      </c>
      <c r="R175" s="10">
        <f t="shared" si="17"/>
        <v>0</v>
      </c>
      <c r="S175" s="10">
        <f>VLOOKUP(D175,A!A$1:AK$767,31,FALSE)</f>
        <v>35</v>
      </c>
      <c r="T175" s="10">
        <v>0.2</v>
      </c>
      <c r="U175" s="10">
        <f t="shared" si="18"/>
        <v>0</v>
      </c>
      <c r="X175" s="10"/>
    </row>
    <row r="176" spans="1:24" ht="11.25" hidden="1" customHeight="1" x14ac:dyDescent="0.25">
      <c r="A176" s="1" t="str">
        <f>IF(R176=0,"",COUNTIF(A$23:A175,"&gt;0")+1)</f>
        <v/>
      </c>
      <c r="B176" s="87"/>
      <c r="C176" s="63" t="s">
        <v>51</v>
      </c>
      <c r="D176" s="88" t="s">
        <v>299</v>
      </c>
      <c r="E176" s="65"/>
      <c r="F176" s="65"/>
      <c r="G176" s="89" t="s">
        <v>300</v>
      </c>
      <c r="H176" s="90" t="s">
        <v>301</v>
      </c>
      <c r="I176" s="67">
        <f>VLOOKUP(D176,A!A$1:H$767,8,FALSE)</f>
        <v>1</v>
      </c>
      <c r="J176" s="67"/>
      <c r="K176" s="68">
        <f>IF(VLOOKUP(D176,A!A$1:H$767,4,FALSE)="y",1,0)</f>
        <v>0</v>
      </c>
      <c r="L176" s="68">
        <f>IF(VLOOKUP(D176,A!A$1:H$767,5,FALSE)="y",1,0)</f>
        <v>0</v>
      </c>
      <c r="M176" s="711"/>
      <c r="N176" s="67">
        <f>VLOOKUP(D176,A!A$1:H$767,6,FALSE)</f>
        <v>0</v>
      </c>
      <c r="O176" s="93" t="s">
        <v>73</v>
      </c>
      <c r="P176" s="10">
        <f>VLOOKUP(D176,A!A$1:G$767,2,FALSE)</f>
        <v>0</v>
      </c>
      <c r="Q176" s="10" t="s">
        <v>57</v>
      </c>
      <c r="R176" s="10">
        <f t="shared" si="17"/>
        <v>0</v>
      </c>
      <c r="S176" s="10" t="str">
        <f>VLOOKUP(D176,A!A$1:AK$767,31,FALSE)</f>
        <v/>
      </c>
      <c r="T176" s="10">
        <v>4.2</v>
      </c>
      <c r="U176" s="10">
        <f t="shared" si="18"/>
        <v>0</v>
      </c>
      <c r="X176" s="10"/>
    </row>
    <row r="177" spans="1:24" ht="11.25" hidden="1" customHeight="1" x14ac:dyDescent="0.25">
      <c r="A177" s="1" t="str">
        <f>IF(R177=0,"",COUNTIF(A$23:A176,"&gt;0")+1)</f>
        <v/>
      </c>
      <c r="B177" s="87"/>
      <c r="C177" s="63" t="s">
        <v>51</v>
      </c>
      <c r="D177" s="88" t="s">
        <v>302</v>
      </c>
      <c r="E177" s="65"/>
      <c r="F177" s="65"/>
      <c r="G177" s="89" t="s">
        <v>303</v>
      </c>
      <c r="H177" s="90" t="s">
        <v>304</v>
      </c>
      <c r="I177" s="67">
        <f>VLOOKUP(D177,A!A$1:H$767,8,FALSE)</f>
        <v>3</v>
      </c>
      <c r="J177" s="67"/>
      <c r="K177" s="68">
        <f>IF(VLOOKUP(D177,A!A$1:H$767,4,FALSE)="y",1,0)</f>
        <v>0</v>
      </c>
      <c r="L177" s="68">
        <f>IF(VLOOKUP(D177,A!A$1:H$767,5,FALSE)="y",1,0)</f>
        <v>0</v>
      </c>
      <c r="M177" s="711"/>
      <c r="N177" s="67">
        <f>VLOOKUP(D177,A!A$1:H$767,6,FALSE)</f>
        <v>0</v>
      </c>
      <c r="O177" s="93">
        <v>1</v>
      </c>
      <c r="P177" s="10">
        <f>VLOOKUP(D177,A!A$1:G$767,2,FALSE)</f>
        <v>0</v>
      </c>
      <c r="Q177" s="10" t="s">
        <v>57</v>
      </c>
      <c r="R177" s="10">
        <f t="shared" si="17"/>
        <v>0</v>
      </c>
      <c r="S177" s="10">
        <f>VLOOKUP(D177,A!A$1:AK$767,31,FALSE)</f>
        <v>25</v>
      </c>
      <c r="T177" s="10">
        <v>0.2</v>
      </c>
      <c r="U177" s="10">
        <f t="shared" si="18"/>
        <v>0</v>
      </c>
      <c r="X177" s="10"/>
    </row>
    <row r="178" spans="1:24" ht="11.45" hidden="1" customHeight="1" x14ac:dyDescent="0.25">
      <c r="A178" s="1" t="str">
        <f>IF(R178=0,"",COUNTIF(A$23:A177,"&gt;0")+1)</f>
        <v/>
      </c>
      <c r="B178" s="87"/>
      <c r="C178" s="63" t="s">
        <v>51</v>
      </c>
      <c r="D178" s="88" t="s">
        <v>305</v>
      </c>
      <c r="E178" s="65"/>
      <c r="F178" s="65"/>
      <c r="G178" s="89" t="s">
        <v>303</v>
      </c>
      <c r="H178" s="90" t="s">
        <v>306</v>
      </c>
      <c r="I178" s="67">
        <f>VLOOKUP(D178,A!A$1:H$767,8,FALSE)</f>
        <v>3</v>
      </c>
      <c r="J178" s="67"/>
      <c r="K178" s="68">
        <f>IF(VLOOKUP(D178,A!A$1:H$767,4,FALSE)="y",1,0)</f>
        <v>0</v>
      </c>
      <c r="L178" s="68">
        <f>IF(VLOOKUP(D178,A!A$1:H$767,5,FALSE)="y",1,0)</f>
        <v>0</v>
      </c>
      <c r="M178" s="711"/>
      <c r="N178" s="67">
        <f>VLOOKUP(D178,A!A$1:H$767,6,FALSE)</f>
        <v>0</v>
      </c>
      <c r="O178" s="93">
        <v>1</v>
      </c>
      <c r="P178" s="10">
        <f>VLOOKUP(D178,A!A$1:G$767,2,FALSE)</f>
        <v>0</v>
      </c>
      <c r="Q178" s="10" t="s">
        <v>57</v>
      </c>
      <c r="R178" s="10">
        <f t="shared" si="17"/>
        <v>0</v>
      </c>
      <c r="S178" s="10">
        <f>VLOOKUP(D178,A!A$1:AK$767,31,FALSE)</f>
        <v>25</v>
      </c>
      <c r="T178" s="10">
        <v>6.2</v>
      </c>
      <c r="U178" s="10">
        <f t="shared" si="18"/>
        <v>0</v>
      </c>
      <c r="X178" s="10"/>
    </row>
    <row r="179" spans="1:24" ht="11.25" hidden="1" customHeight="1" x14ac:dyDescent="0.25">
      <c r="A179" s="1" t="str">
        <f>IF(R179=0,"",COUNTIF(A$23:A178,"&gt;0")+1)</f>
        <v/>
      </c>
      <c r="B179" s="87"/>
      <c r="C179" s="63" t="s">
        <v>51</v>
      </c>
      <c r="D179" s="88" t="s">
        <v>307</v>
      </c>
      <c r="E179" s="65"/>
      <c r="F179" s="65"/>
      <c r="G179" s="89" t="s">
        <v>308</v>
      </c>
      <c r="H179" s="90" t="s">
        <v>309</v>
      </c>
      <c r="I179" s="67">
        <f>VLOOKUP(D179,A!A$1:H$767,8,FALSE)</f>
        <v>3</v>
      </c>
      <c r="J179" s="67"/>
      <c r="K179" s="68">
        <f>IF(VLOOKUP(D179,A!A$1:H$767,4,FALSE)="y",1,0)</f>
        <v>0</v>
      </c>
      <c r="L179" s="68">
        <f>IF(VLOOKUP(D179,A!A$1:H$767,5,FALSE)="y",1,0)</f>
        <v>0</v>
      </c>
      <c r="M179" s="711"/>
      <c r="N179" s="67">
        <f>VLOOKUP(D179,A!A$1:H$767,6,FALSE)</f>
        <v>0</v>
      </c>
      <c r="O179" s="93" t="s">
        <v>73</v>
      </c>
      <c r="P179" s="10">
        <f>VLOOKUP(D179,A!A$1:G$767,2,FALSE)</f>
        <v>0</v>
      </c>
      <c r="Q179" s="10" t="s">
        <v>57</v>
      </c>
      <c r="R179" s="10">
        <f t="shared" si="17"/>
        <v>0</v>
      </c>
      <c r="S179" s="10">
        <f>VLOOKUP(D179,A!A$1:AK$767,31,FALSE)</f>
        <v>35</v>
      </c>
      <c r="T179" s="10">
        <v>7.2</v>
      </c>
      <c r="U179" s="10">
        <f t="shared" si="18"/>
        <v>0</v>
      </c>
      <c r="X179" s="10"/>
    </row>
    <row r="180" spans="1:24" ht="11.25" hidden="1" customHeight="1" x14ac:dyDescent="0.25">
      <c r="A180" s="1" t="str">
        <f>IF(R180=0,"",COUNTIF(A$23:A179,"&gt;0")+1)</f>
        <v/>
      </c>
      <c r="B180" s="87"/>
      <c r="C180" s="63" t="s">
        <v>51</v>
      </c>
      <c r="D180" s="88" t="s">
        <v>310</v>
      </c>
      <c r="E180" s="65"/>
      <c r="F180" s="65"/>
      <c r="G180" s="89" t="s">
        <v>311</v>
      </c>
      <c r="H180" s="90" t="s">
        <v>312</v>
      </c>
      <c r="I180" s="67">
        <f>VLOOKUP(D180,A!A$1:H$767,8,FALSE)</f>
        <v>2</v>
      </c>
      <c r="J180" s="67" t="s">
        <v>63</v>
      </c>
      <c r="K180" s="68">
        <f>IF(VLOOKUP(D180,A!A$1:H$767,4,FALSE)="y",1,0)</f>
        <v>0</v>
      </c>
      <c r="L180" s="68">
        <f>IF(VLOOKUP(D180,A!A$1:H$767,5,FALSE)="y",1,0)</f>
        <v>0</v>
      </c>
      <c r="M180" s="711"/>
      <c r="N180" s="67">
        <f>VLOOKUP(D180,A!A$1:H$767,6,FALSE)</f>
        <v>0</v>
      </c>
      <c r="O180" s="93" t="s">
        <v>73</v>
      </c>
      <c r="P180" s="10">
        <f>VLOOKUP(D180,A!A$1:G$767,2,FALSE)</f>
        <v>0</v>
      </c>
      <c r="Q180" s="10" t="s">
        <v>57</v>
      </c>
      <c r="R180" s="10">
        <f t="shared" si="17"/>
        <v>0</v>
      </c>
      <c r="S180" s="10">
        <f>VLOOKUP(D180,A!A$1:AK$767,31,FALSE)</f>
        <v>25</v>
      </c>
      <c r="T180" s="10">
        <v>0.2</v>
      </c>
      <c r="U180" s="10">
        <f t="shared" si="18"/>
        <v>0</v>
      </c>
      <c r="X180" s="10"/>
    </row>
    <row r="181" spans="1:24" ht="11.25" hidden="1" customHeight="1" x14ac:dyDescent="0.25">
      <c r="A181" s="1" t="str">
        <f>IF(R181=0,"",COUNTIF(A$23:A180,"&gt;0")+1)</f>
        <v/>
      </c>
      <c r="B181" s="87"/>
      <c r="C181" s="63" t="s">
        <v>51</v>
      </c>
      <c r="D181" s="88" t="s">
        <v>313</v>
      </c>
      <c r="E181" s="65"/>
      <c r="F181" s="65"/>
      <c r="G181" s="89" t="s">
        <v>314</v>
      </c>
      <c r="H181" s="90" t="s">
        <v>315</v>
      </c>
      <c r="I181" s="67">
        <f>VLOOKUP(D181,A!A$1:H$767,8,FALSE)</f>
        <v>1</v>
      </c>
      <c r="J181" s="67"/>
      <c r="K181" s="68">
        <f>IF(VLOOKUP(D181,A!A$1:H$767,4,FALSE)="y",1,0)</f>
        <v>1</v>
      </c>
      <c r="L181" s="68">
        <f>IF(VLOOKUP(D181,A!A$1:H$767,5,FALSE)="y",1,0)</f>
        <v>0</v>
      </c>
      <c r="M181" s="711"/>
      <c r="N181" s="67">
        <f>VLOOKUP(D181,A!A$1:H$767,6,FALSE)</f>
        <v>0</v>
      </c>
      <c r="O181" s="93" t="s">
        <v>73</v>
      </c>
      <c r="P181" s="10">
        <f>VLOOKUP(D181,A!A$1:G$767,2,FALSE)</f>
        <v>0</v>
      </c>
      <c r="Q181" s="10" t="s">
        <v>57</v>
      </c>
      <c r="R181" s="10">
        <f t="shared" ref="R181:R212" si="19">B181</f>
        <v>0</v>
      </c>
      <c r="S181" s="10">
        <f>VLOOKUP(D181,A!A$1:AK$767,31,FALSE)</f>
        <v>35</v>
      </c>
      <c r="T181" s="10">
        <v>0.2</v>
      </c>
      <c r="U181" s="10">
        <f t="shared" ref="U181:U212" si="20">T181*B181</f>
        <v>0</v>
      </c>
      <c r="X181" s="10"/>
    </row>
    <row r="182" spans="1:24" ht="11.25" hidden="1" customHeight="1" x14ac:dyDescent="0.25">
      <c r="A182" s="1" t="str">
        <f>IF(R182=0,"",COUNTIF(A$23:A181,"&gt;0")+1)</f>
        <v/>
      </c>
      <c r="B182" s="87"/>
      <c r="C182" s="63" t="s">
        <v>51</v>
      </c>
      <c r="D182" s="88" t="s">
        <v>316</v>
      </c>
      <c r="E182" s="65"/>
      <c r="F182" s="65"/>
      <c r="G182" s="89" t="s">
        <v>300</v>
      </c>
      <c r="H182" s="90" t="s">
        <v>317</v>
      </c>
      <c r="I182" s="67">
        <f>VLOOKUP(D182,A!A$1:H$767,8,FALSE)</f>
        <v>2</v>
      </c>
      <c r="J182" s="67" t="s">
        <v>63</v>
      </c>
      <c r="K182" s="68">
        <f>IF(VLOOKUP(D182,A!A$1:H$767,4,FALSE)="y",1,0)</f>
        <v>1</v>
      </c>
      <c r="L182" s="68">
        <f>IF(VLOOKUP(D182,A!A$1:H$767,5,FALSE)="y",1,0)</f>
        <v>0</v>
      </c>
      <c r="M182" s="711"/>
      <c r="N182" s="67">
        <f>VLOOKUP(D182,A!A$1:H$767,6,FALSE)</f>
        <v>0</v>
      </c>
      <c r="O182" s="93" t="s">
        <v>73</v>
      </c>
      <c r="P182" s="10">
        <f>VLOOKUP(D182,A!A$1:G$767,2,FALSE)</f>
        <v>0</v>
      </c>
      <c r="Q182" s="10" t="s">
        <v>57</v>
      </c>
      <c r="R182" s="10">
        <f t="shared" si="19"/>
        <v>0</v>
      </c>
      <c r="S182" s="10">
        <f>VLOOKUP(D182,A!A$1:AK$767,31,FALSE)</f>
        <v>35</v>
      </c>
      <c r="T182" s="10">
        <v>0.2</v>
      </c>
      <c r="U182" s="10">
        <f t="shared" si="20"/>
        <v>0</v>
      </c>
      <c r="X182" s="10"/>
    </row>
    <row r="183" spans="1:24" ht="11.25" hidden="1" customHeight="1" x14ac:dyDescent="0.25">
      <c r="A183" s="1" t="str">
        <f>IF(R183=0,"",COUNTIF(A$23:A182,"&gt;0")+1)</f>
        <v/>
      </c>
      <c r="B183" s="87"/>
      <c r="C183" s="63" t="s">
        <v>51</v>
      </c>
      <c r="D183" s="88" t="s">
        <v>318</v>
      </c>
      <c r="E183" s="65"/>
      <c r="F183" s="65"/>
      <c r="G183" s="89" t="s">
        <v>319</v>
      </c>
      <c r="H183" s="90" t="s">
        <v>320</v>
      </c>
      <c r="I183" s="67">
        <f>VLOOKUP(D183,A!A$1:H$767,8,FALSE)</f>
        <v>2</v>
      </c>
      <c r="J183" s="67"/>
      <c r="K183" s="68">
        <f>IF(VLOOKUP(D183,A!A$1:H$767,4,FALSE)="y",1,0)</f>
        <v>0</v>
      </c>
      <c r="L183" s="68">
        <f>IF(VLOOKUP(D183,A!A$1:H$767,5,FALSE)="y",1,0)</f>
        <v>0</v>
      </c>
      <c r="M183" s="711"/>
      <c r="N183" s="67"/>
      <c r="O183" s="93">
        <v>1</v>
      </c>
      <c r="P183" s="10">
        <f>VLOOKUP(D183,A!A$1:G$767,2,FALSE)</f>
        <v>0</v>
      </c>
      <c r="Q183" s="10" t="s">
        <v>57</v>
      </c>
      <c r="R183" s="10">
        <f t="shared" si="19"/>
        <v>0</v>
      </c>
      <c r="S183" s="10">
        <f>VLOOKUP(D183,A!A$1:AK$767,31,FALSE)</f>
        <v>25</v>
      </c>
      <c r="T183" s="10">
        <v>0.2</v>
      </c>
      <c r="U183" s="10">
        <f t="shared" si="20"/>
        <v>0</v>
      </c>
      <c r="X183" s="10"/>
    </row>
    <row r="184" spans="1:24" ht="11.25" hidden="1" customHeight="1" x14ac:dyDescent="0.25">
      <c r="A184" s="1" t="str">
        <f>IF(R184=0,"",COUNTIF(A$23:A183,"&gt;0")+1)</f>
        <v/>
      </c>
      <c r="B184" s="87"/>
      <c r="C184" s="63" t="s">
        <v>51</v>
      </c>
      <c r="D184" s="88" t="s">
        <v>321</v>
      </c>
      <c r="E184" s="65"/>
      <c r="F184" s="65"/>
      <c r="G184" s="89" t="s">
        <v>322</v>
      </c>
      <c r="H184" s="90" t="s">
        <v>323</v>
      </c>
      <c r="I184" s="67">
        <f>VLOOKUP(D184,A!A$1:H$767,8,FALSE)</f>
        <v>2</v>
      </c>
      <c r="J184" s="67"/>
      <c r="K184" s="68">
        <f>IF(VLOOKUP(D184,A!A$1:H$767,4,FALSE)="y",1,0)</f>
        <v>0</v>
      </c>
      <c r="L184" s="68">
        <f>IF(VLOOKUP(D184,A!A$1:H$767,5,FALSE)="y",1,0)</f>
        <v>0</v>
      </c>
      <c r="M184" s="711"/>
      <c r="N184" s="67"/>
      <c r="O184" s="93">
        <v>1</v>
      </c>
      <c r="P184" s="10">
        <f>VLOOKUP(D184,A!A$1:G$767,2,FALSE)</f>
        <v>0</v>
      </c>
      <c r="Q184" s="10" t="s">
        <v>57</v>
      </c>
      <c r="R184" s="10">
        <f t="shared" si="19"/>
        <v>0</v>
      </c>
      <c r="S184" s="10">
        <f>VLOOKUP(D184,A!A$1:AK$767,31,FALSE)</f>
        <v>25</v>
      </c>
      <c r="T184" s="10">
        <v>0.2</v>
      </c>
      <c r="U184" s="10">
        <f t="shared" si="20"/>
        <v>0</v>
      </c>
      <c r="X184" s="10"/>
    </row>
    <row r="185" spans="1:24" ht="11.25" customHeight="1" x14ac:dyDescent="0.25">
      <c r="A185" s="1" t="str">
        <f>IF(R185=0,"",COUNTIF(A$23:A184,"&gt;0")+1)</f>
        <v/>
      </c>
      <c r="B185" s="87"/>
      <c r="C185" s="63" t="s">
        <v>51</v>
      </c>
      <c r="D185" s="88" t="s">
        <v>324</v>
      </c>
      <c r="E185" s="65"/>
      <c r="F185" s="65"/>
      <c r="G185" s="89" t="s">
        <v>325</v>
      </c>
      <c r="H185" s="90" t="s">
        <v>326</v>
      </c>
      <c r="I185" s="67">
        <f>VLOOKUP(D185,A!A$1:H$767,8,FALSE)</f>
        <v>1</v>
      </c>
      <c r="J185" s="67" t="s">
        <v>63</v>
      </c>
      <c r="K185" s="68">
        <f>IF(VLOOKUP(D185,A!A$1:H$767,4,FALSE)="y",1,0)</f>
        <v>1</v>
      </c>
      <c r="L185" s="68">
        <f>IF(VLOOKUP(D185,A!A$1:H$767,5,FALSE)="y",1,0)</f>
        <v>0</v>
      </c>
      <c r="M185" s="711"/>
      <c r="N185" s="67">
        <f>VLOOKUP(D185,A!A$1:H$767,6,FALSE)</f>
        <v>0</v>
      </c>
      <c r="O185" s="93" t="s">
        <v>73</v>
      </c>
      <c r="P185" s="10" t="str">
        <f>VLOOKUP(D185,A!A$1:G$767,2,FALSE)</f>
        <v>y</v>
      </c>
      <c r="Q185" s="10" t="s">
        <v>57</v>
      </c>
      <c r="R185" s="10">
        <f t="shared" si="19"/>
        <v>0</v>
      </c>
      <c r="S185" s="10">
        <f>VLOOKUP(D185,A!A$1:AK$767,31,FALSE)</f>
        <v>35</v>
      </c>
      <c r="T185" s="10">
        <v>0.2</v>
      </c>
      <c r="U185" s="10">
        <f t="shared" si="20"/>
        <v>0</v>
      </c>
      <c r="X185" s="10"/>
    </row>
    <row r="186" spans="1:24" ht="11.25" hidden="1" customHeight="1" x14ac:dyDescent="0.25">
      <c r="A186" s="1" t="str">
        <f>IF(R186=0,"",COUNTIF(A$23:A185,"&gt;0")+1)</f>
        <v/>
      </c>
      <c r="B186" s="87"/>
      <c r="C186" s="63" t="s">
        <v>51</v>
      </c>
      <c r="D186" s="88" t="s">
        <v>327</v>
      </c>
      <c r="E186" s="65"/>
      <c r="F186" s="65"/>
      <c r="G186" s="89" t="s">
        <v>328</v>
      </c>
      <c r="H186" s="90" t="s">
        <v>329</v>
      </c>
      <c r="I186" s="67">
        <f>VLOOKUP(D186,A!A$1:H$767,8,FALSE)</f>
        <v>1</v>
      </c>
      <c r="J186" s="67" t="s">
        <v>63</v>
      </c>
      <c r="K186" s="68">
        <f>IF(VLOOKUP(D186,A!A$1:H$767,4,FALSE)="y",1,0)</f>
        <v>0</v>
      </c>
      <c r="L186" s="68">
        <f>IF(VLOOKUP(D186,A!A$1:H$767,5,FALSE)="y",1,0)</f>
        <v>0</v>
      </c>
      <c r="M186" s="711" t="s">
        <v>64</v>
      </c>
      <c r="N186" s="67">
        <f>VLOOKUP(D186,A!A$1:H$767,6,FALSE)</f>
        <v>0</v>
      </c>
      <c r="O186" s="93" t="s">
        <v>73</v>
      </c>
      <c r="P186" s="10">
        <f>VLOOKUP(D186,A!A$1:G$767,2,FALSE)</f>
        <v>0</v>
      </c>
      <c r="Q186" s="10" t="s">
        <v>57</v>
      </c>
      <c r="R186" s="10">
        <f t="shared" si="19"/>
        <v>0</v>
      </c>
      <c r="S186" s="10">
        <f>VLOOKUP(D186,A!A$1:AK$767,31,FALSE)</f>
        <v>25</v>
      </c>
      <c r="T186" s="10">
        <v>0.2</v>
      </c>
      <c r="U186" s="10">
        <f t="shared" si="20"/>
        <v>0</v>
      </c>
      <c r="X186" s="10"/>
    </row>
    <row r="187" spans="1:24" ht="11.25" hidden="1" customHeight="1" x14ac:dyDescent="0.25">
      <c r="A187" s="1" t="str">
        <f>IF(R187=0,"",COUNTIF(A$23:A186,"&gt;0")+1)</f>
        <v/>
      </c>
      <c r="B187" s="87"/>
      <c r="C187" s="63" t="s">
        <v>51</v>
      </c>
      <c r="D187" s="88" t="s">
        <v>330</v>
      </c>
      <c r="E187" s="65"/>
      <c r="F187" s="65"/>
      <c r="G187" s="89" t="s">
        <v>331</v>
      </c>
      <c r="H187" s="90" t="s">
        <v>332</v>
      </c>
      <c r="I187" s="67">
        <f>VLOOKUP(D187,A!A$1:H$767,8,FALSE)</f>
        <v>2</v>
      </c>
      <c r="J187" s="67" t="s">
        <v>63</v>
      </c>
      <c r="K187" s="68">
        <f>IF(VLOOKUP(D187,A!A$1:H$767,4,FALSE)="y",1,0)</f>
        <v>0</v>
      </c>
      <c r="L187" s="68">
        <f>IF(VLOOKUP(D187,A!A$1:H$767,5,FALSE)="y",1,0)</f>
        <v>0</v>
      </c>
      <c r="M187" s="711"/>
      <c r="N187" s="67">
        <f>VLOOKUP(D187,A!A$1:H$767,6,FALSE)</f>
        <v>0</v>
      </c>
      <c r="O187" s="93" t="s">
        <v>65</v>
      </c>
      <c r="P187" s="10">
        <f>VLOOKUP(D187,A!A$1:G$767,2,FALSE)</f>
        <v>0</v>
      </c>
      <c r="Q187" s="10" t="s">
        <v>57</v>
      </c>
      <c r="R187" s="10">
        <f t="shared" si="19"/>
        <v>0</v>
      </c>
      <c r="S187" s="10">
        <f>VLOOKUP(D187,A!A$1:AK$767,31,FALSE)</f>
        <v>35</v>
      </c>
      <c r="T187" s="10">
        <v>0.2</v>
      </c>
      <c r="U187" s="10">
        <f t="shared" si="20"/>
        <v>0</v>
      </c>
      <c r="X187" s="10"/>
    </row>
    <row r="188" spans="1:24" ht="11.25" hidden="1" customHeight="1" x14ac:dyDescent="0.25">
      <c r="A188" s="1" t="str">
        <f>IF(R188=0,"",COUNTIF(A$23:A187,"&gt;0")+1)</f>
        <v/>
      </c>
      <c r="B188" s="87"/>
      <c r="C188" s="63" t="s">
        <v>51</v>
      </c>
      <c r="D188" s="88" t="s">
        <v>333</v>
      </c>
      <c r="E188" s="65"/>
      <c r="F188" s="65"/>
      <c r="G188" s="89" t="s">
        <v>334</v>
      </c>
      <c r="H188" s="90" t="s">
        <v>335</v>
      </c>
      <c r="I188" s="67">
        <f>VLOOKUP(D188,A!A$1:H$767,8,FALSE)</f>
        <v>1</v>
      </c>
      <c r="J188" s="67"/>
      <c r="K188" s="68">
        <f>IF(VLOOKUP(D188,A!A$1:H$767,4,FALSE)="y",1,0)</f>
        <v>0</v>
      </c>
      <c r="L188" s="68">
        <f>IF(VLOOKUP(D188,A!A$1:H$767,5,FALSE)="y",1,0)</f>
        <v>0</v>
      </c>
      <c r="M188" s="711"/>
      <c r="N188" s="67">
        <f>VLOOKUP(D188,A!A$1:H$767,6,FALSE)</f>
        <v>0</v>
      </c>
      <c r="O188" s="93" t="s">
        <v>73</v>
      </c>
      <c r="P188" s="10">
        <f>VLOOKUP(D188,A!A$1:G$767,2,FALSE)</f>
        <v>0</v>
      </c>
      <c r="Q188" s="10" t="s">
        <v>57</v>
      </c>
      <c r="R188" s="10">
        <f t="shared" si="19"/>
        <v>0</v>
      </c>
      <c r="S188" s="10" t="str">
        <f>VLOOKUP(D188,A!A$1:AK$767,31,FALSE)</f>
        <v/>
      </c>
      <c r="T188" s="10">
        <v>0.2</v>
      </c>
      <c r="U188" s="10">
        <f t="shared" si="20"/>
        <v>0</v>
      </c>
      <c r="X188" s="10"/>
    </row>
    <row r="189" spans="1:24" ht="11.25" hidden="1" customHeight="1" x14ac:dyDescent="0.25">
      <c r="A189" s="1" t="str">
        <f>IF(R189=0,"",COUNTIF(A$23:A188,"&gt;0")+1)</f>
        <v/>
      </c>
      <c r="B189" s="87"/>
      <c r="C189" s="63" t="s">
        <v>51</v>
      </c>
      <c r="D189" s="88" t="s">
        <v>336</v>
      </c>
      <c r="E189" s="65"/>
      <c r="F189" s="65"/>
      <c r="G189" s="89" t="s">
        <v>337</v>
      </c>
      <c r="H189" s="90" t="s">
        <v>338</v>
      </c>
      <c r="I189" s="67">
        <f>VLOOKUP(D189,A!A$1:H$767,8,FALSE)</f>
        <v>1</v>
      </c>
      <c r="J189" s="67"/>
      <c r="K189" s="68">
        <f>IF(VLOOKUP(D189,A!A$1:H$767,4,FALSE)="y",1,0)</f>
        <v>0</v>
      </c>
      <c r="L189" s="68">
        <f>IF(VLOOKUP(D189,A!A$1:H$767,5,FALSE)="y",1,0)</f>
        <v>0</v>
      </c>
      <c r="M189" s="711"/>
      <c r="N189" s="67">
        <f>VLOOKUP(D189,A!A$1:H$767,6,FALSE)</f>
        <v>0</v>
      </c>
      <c r="O189" s="93" t="s">
        <v>73</v>
      </c>
      <c r="P189" s="10">
        <f>VLOOKUP(D189,A!A$1:G$767,2,FALSE)</f>
        <v>0</v>
      </c>
      <c r="Q189" s="10" t="s">
        <v>57</v>
      </c>
      <c r="R189" s="10">
        <f t="shared" si="19"/>
        <v>0</v>
      </c>
      <c r="S189" s="10">
        <f>VLOOKUP(D189,A!A$1:AK$767,31,FALSE)</f>
        <v>25</v>
      </c>
      <c r="T189" s="10">
        <v>0.2</v>
      </c>
      <c r="U189" s="10">
        <f t="shared" si="20"/>
        <v>0</v>
      </c>
      <c r="X189" s="10"/>
    </row>
    <row r="190" spans="1:24" ht="11.25" hidden="1" customHeight="1" x14ac:dyDescent="0.25">
      <c r="A190" s="1" t="str">
        <f>IF(R190=0,"",COUNTIF(A$23:A189,"&gt;0")+1)</f>
        <v/>
      </c>
      <c r="B190" s="87"/>
      <c r="C190" s="63" t="s">
        <v>51</v>
      </c>
      <c r="D190" s="88" t="s">
        <v>339</v>
      </c>
      <c r="E190" s="65"/>
      <c r="F190" s="65"/>
      <c r="G190" s="89" t="s">
        <v>340</v>
      </c>
      <c r="H190" s="90" t="s">
        <v>341</v>
      </c>
      <c r="I190" s="67">
        <f>VLOOKUP(D190,A!A$1:H$767,8,FALSE)</f>
        <v>1</v>
      </c>
      <c r="J190" s="67"/>
      <c r="K190" s="68">
        <f>IF(VLOOKUP(D190,A!A$1:H$767,4,FALSE)="y",1,0)</f>
        <v>0</v>
      </c>
      <c r="L190" s="68">
        <f>IF(VLOOKUP(D190,A!A$1:H$767,5,FALSE)="y",1,0)</f>
        <v>0</v>
      </c>
      <c r="M190" s="711"/>
      <c r="N190" s="67">
        <f>VLOOKUP(D190,A!A$1:H$767,6,FALSE)</f>
        <v>0</v>
      </c>
      <c r="O190" s="93" t="s">
        <v>73</v>
      </c>
      <c r="P190" s="10">
        <f>VLOOKUP(D190,A!A$1:G$767,2,FALSE)</f>
        <v>0</v>
      </c>
      <c r="Q190" s="10" t="s">
        <v>57</v>
      </c>
      <c r="R190" s="10">
        <f t="shared" si="19"/>
        <v>0</v>
      </c>
      <c r="S190" s="10" t="str">
        <f>VLOOKUP(D190,A!A$1:AK$767,31,FALSE)</f>
        <v/>
      </c>
      <c r="T190" s="10">
        <v>0.2</v>
      </c>
      <c r="U190" s="10">
        <f t="shared" si="20"/>
        <v>0</v>
      </c>
      <c r="X190" s="10"/>
    </row>
    <row r="191" spans="1:24" ht="11.25" hidden="1" customHeight="1" x14ac:dyDescent="0.25">
      <c r="A191" s="1" t="str">
        <f>IF(R191=0,"",COUNTIF(A$23:A190,"&gt;0")+1)</f>
        <v/>
      </c>
      <c r="B191" s="87"/>
      <c r="C191" s="63" t="s">
        <v>51</v>
      </c>
      <c r="D191" s="88" t="s">
        <v>342</v>
      </c>
      <c r="E191" s="65"/>
      <c r="F191" s="65"/>
      <c r="G191" s="89" t="s">
        <v>343</v>
      </c>
      <c r="H191" s="90" t="s">
        <v>344</v>
      </c>
      <c r="I191" s="67">
        <f>VLOOKUP(D191,A!A$1:H$767,8,FALSE)</f>
        <v>1</v>
      </c>
      <c r="J191" s="67"/>
      <c r="K191" s="68">
        <f>IF(VLOOKUP(D191,A!A$1:H$767,4,FALSE)="y",1,0)</f>
        <v>0</v>
      </c>
      <c r="L191" s="68">
        <f>IF(VLOOKUP(D191,A!A$1:H$767,5,FALSE)="y",1,0)</f>
        <v>0</v>
      </c>
      <c r="M191" s="711"/>
      <c r="N191" s="67">
        <f>VLOOKUP(D191,A!A$1:H$767,6,FALSE)</f>
        <v>0</v>
      </c>
      <c r="O191" s="93" t="s">
        <v>73</v>
      </c>
      <c r="P191" s="10">
        <f>VLOOKUP(D191,A!A$1:G$767,2,FALSE)</f>
        <v>0</v>
      </c>
      <c r="Q191" s="10" t="s">
        <v>57</v>
      </c>
      <c r="R191" s="10">
        <f t="shared" si="19"/>
        <v>0</v>
      </c>
      <c r="S191" s="10">
        <f>VLOOKUP(D191,A!A$1:AK$767,31,FALSE)</f>
        <v>55</v>
      </c>
      <c r="T191" s="10">
        <v>0.2</v>
      </c>
      <c r="U191" s="10">
        <f t="shared" si="20"/>
        <v>0</v>
      </c>
      <c r="X191" s="10"/>
    </row>
    <row r="192" spans="1:24" ht="12" hidden="1" customHeight="1" x14ac:dyDescent="0.25">
      <c r="A192" s="1" t="str">
        <f>IF(R192=0,"",COUNTIF(A$23:A191,"&gt;0")+1)</f>
        <v/>
      </c>
      <c r="B192" s="87"/>
      <c r="C192" s="63" t="s">
        <v>51</v>
      </c>
      <c r="D192" s="88" t="s">
        <v>345</v>
      </c>
      <c r="E192" s="65"/>
      <c r="F192" s="65"/>
      <c r="G192" s="89" t="s">
        <v>346</v>
      </c>
      <c r="H192" s="90" t="s">
        <v>347</v>
      </c>
      <c r="I192" s="67">
        <f>VLOOKUP(D192,A!A$1:H$767,8,FALSE)</f>
        <v>1</v>
      </c>
      <c r="J192" s="67" t="s">
        <v>63</v>
      </c>
      <c r="K192" s="68">
        <f>IF(VLOOKUP(D192,A!A$1:H$767,4,FALSE)="y",1,0)</f>
        <v>0</v>
      </c>
      <c r="L192" s="68">
        <f>IF(VLOOKUP(D192,A!A$1:H$767,5,FALSE)="y",1,0)</f>
        <v>0</v>
      </c>
      <c r="M192" s="711"/>
      <c r="N192" s="67">
        <f>VLOOKUP(D192,A!A$1:H$767,6,FALSE)</f>
        <v>0</v>
      </c>
      <c r="O192" s="93">
        <v>2</v>
      </c>
      <c r="P192" s="10">
        <f>VLOOKUP(D192,A!A$1:G$767,2,FALSE)</f>
        <v>0</v>
      </c>
      <c r="Q192" s="10" t="s">
        <v>57</v>
      </c>
      <c r="R192" s="10">
        <f t="shared" si="19"/>
        <v>0</v>
      </c>
      <c r="S192" s="10">
        <f>VLOOKUP(D192,A!A$1:AK$767,31,FALSE)</f>
        <v>25</v>
      </c>
      <c r="T192" s="10">
        <v>0.2</v>
      </c>
      <c r="U192" s="10">
        <f t="shared" si="20"/>
        <v>0</v>
      </c>
      <c r="X192" s="10"/>
    </row>
    <row r="193" spans="1:24" ht="11.25" hidden="1" customHeight="1" x14ac:dyDescent="0.25">
      <c r="A193" s="1" t="str">
        <f>IF(R193=0,"",COUNTIF(A$23:A192,"&gt;0")+1)</f>
        <v/>
      </c>
      <c r="B193" s="87"/>
      <c r="C193" s="63" t="s">
        <v>51</v>
      </c>
      <c r="D193" s="88" t="s">
        <v>348</v>
      </c>
      <c r="E193" s="65"/>
      <c r="F193" s="65"/>
      <c r="G193" s="89" t="s">
        <v>349</v>
      </c>
      <c r="H193" s="90" t="s">
        <v>350</v>
      </c>
      <c r="I193" s="67">
        <f>VLOOKUP(D193,A!A$1:H$767,8,FALSE)</f>
        <v>1</v>
      </c>
      <c r="J193" s="67"/>
      <c r="K193" s="68">
        <f>IF(VLOOKUP(D193,A!A$1:H$767,4,FALSE)="y",1,0)</f>
        <v>0</v>
      </c>
      <c r="L193" s="68">
        <f>IF(VLOOKUP(D193,A!A$1:H$767,5,FALSE)="y",1,0)</f>
        <v>0</v>
      </c>
      <c r="M193" s="711"/>
      <c r="N193" s="67">
        <f>VLOOKUP(D193,A!A$1:H$767,6,FALSE)</f>
        <v>0</v>
      </c>
      <c r="O193" s="93" t="s">
        <v>73</v>
      </c>
      <c r="P193" s="10">
        <f>VLOOKUP(D193,A!A$1:G$767,2,FALSE)</f>
        <v>0</v>
      </c>
      <c r="Q193" s="10" t="s">
        <v>57</v>
      </c>
      <c r="R193" s="10">
        <f t="shared" si="19"/>
        <v>0</v>
      </c>
      <c r="S193" s="10">
        <f>VLOOKUP(D193,A!A$1:AK$767,31,FALSE)</f>
        <v>25</v>
      </c>
      <c r="T193" s="10">
        <v>0.2</v>
      </c>
      <c r="U193" s="10">
        <f t="shared" si="20"/>
        <v>0</v>
      </c>
      <c r="X193" s="10"/>
    </row>
    <row r="194" spans="1:24" ht="11.25" hidden="1" customHeight="1" x14ac:dyDescent="0.25">
      <c r="A194" s="1" t="str">
        <f>IF(R194=0,"",COUNTIF(A$23:A193,"&gt;0")+1)</f>
        <v/>
      </c>
      <c r="B194" s="87"/>
      <c r="C194" s="63" t="s">
        <v>51</v>
      </c>
      <c r="D194" s="88" t="s">
        <v>351</v>
      </c>
      <c r="E194" s="65"/>
      <c r="F194" s="65"/>
      <c r="G194" s="89" t="s">
        <v>352</v>
      </c>
      <c r="H194" s="90" t="s">
        <v>353</v>
      </c>
      <c r="I194" s="67">
        <f>VLOOKUP(D194,A!A$1:H$767,8,FALSE)</f>
        <v>1</v>
      </c>
      <c r="J194" s="67"/>
      <c r="K194" s="68">
        <f>IF(VLOOKUP(D194,A!A$1:H$767,4,FALSE)="y",1,0)</f>
        <v>0</v>
      </c>
      <c r="L194" s="68">
        <f>IF(VLOOKUP(D194,A!A$1:H$767,5,FALSE)="y",1,0)</f>
        <v>0</v>
      </c>
      <c r="M194" s="711"/>
      <c r="N194" s="67">
        <f>VLOOKUP(D194,A!A$1:H$767,6,FALSE)</f>
        <v>0</v>
      </c>
      <c r="O194" s="93" t="s">
        <v>73</v>
      </c>
      <c r="P194" s="10">
        <f>VLOOKUP(D194,A!A$1:G$767,2,FALSE)</f>
        <v>0</v>
      </c>
      <c r="Q194" s="10" t="s">
        <v>57</v>
      </c>
      <c r="R194" s="10">
        <f t="shared" si="19"/>
        <v>0</v>
      </c>
      <c r="S194" s="10" t="str">
        <f>VLOOKUP(D194,A!A$1:AK$767,31,FALSE)</f>
        <v/>
      </c>
      <c r="T194" s="10">
        <v>0.2</v>
      </c>
      <c r="U194" s="10">
        <f t="shared" si="20"/>
        <v>0</v>
      </c>
      <c r="X194" s="10"/>
    </row>
    <row r="195" spans="1:24" ht="11.25" hidden="1" customHeight="1" x14ac:dyDescent="0.25">
      <c r="A195" s="1" t="str">
        <f>IF(R195=0,"",COUNTIF(A$23:A194,"&gt;0")+1)</f>
        <v/>
      </c>
      <c r="B195" s="87"/>
      <c r="C195" s="63" t="s">
        <v>51</v>
      </c>
      <c r="D195" s="88" t="s">
        <v>354</v>
      </c>
      <c r="E195" s="65"/>
      <c r="F195" s="65"/>
      <c r="G195" s="89" t="s">
        <v>355</v>
      </c>
      <c r="H195" s="90" t="s">
        <v>356</v>
      </c>
      <c r="I195" s="67">
        <f>VLOOKUP(D195,A!A$1:H$767,8,FALSE)</f>
        <v>1</v>
      </c>
      <c r="J195" s="67" t="s">
        <v>63</v>
      </c>
      <c r="K195" s="68">
        <f>IF(VLOOKUP(D195,A!A$1:H$767,4,FALSE)="y",1,0)</f>
        <v>0</v>
      </c>
      <c r="L195" s="68">
        <f>IF(VLOOKUP(D195,A!A$1:H$767,5,FALSE)="y",1,0)</f>
        <v>0</v>
      </c>
      <c r="M195" s="711" t="s">
        <v>64</v>
      </c>
      <c r="N195" s="67">
        <f>VLOOKUP(D195,A!A$1:H$767,6,FALSE)</f>
        <v>0</v>
      </c>
      <c r="O195" s="93">
        <v>2</v>
      </c>
      <c r="P195" s="10">
        <f>VLOOKUP(D195,A!A$1:G$767,2,FALSE)</f>
        <v>0</v>
      </c>
      <c r="Q195" s="10" t="s">
        <v>57</v>
      </c>
      <c r="R195" s="10">
        <f t="shared" si="19"/>
        <v>0</v>
      </c>
      <c r="S195" s="10">
        <f>VLOOKUP(D195,A!A$1:AK$767,31,FALSE)</f>
        <v>25</v>
      </c>
      <c r="T195" s="10">
        <v>0.2</v>
      </c>
      <c r="U195" s="10">
        <f t="shared" si="20"/>
        <v>0</v>
      </c>
      <c r="X195" s="10"/>
    </row>
    <row r="196" spans="1:24" ht="11.25" hidden="1" customHeight="1" x14ac:dyDescent="0.25">
      <c r="A196" s="1" t="str">
        <f>IF(R196=0,"",COUNTIF(A$23:A195,"&gt;0")+1)</f>
        <v/>
      </c>
      <c r="B196" s="87"/>
      <c r="C196" s="63" t="s">
        <v>51</v>
      </c>
      <c r="D196" s="88" t="s">
        <v>357</v>
      </c>
      <c r="E196" s="65"/>
      <c r="F196" s="65"/>
      <c r="G196" s="89" t="s">
        <v>358</v>
      </c>
      <c r="H196" s="90" t="s">
        <v>359</v>
      </c>
      <c r="I196" s="67">
        <f>VLOOKUP(D196,A!A$1:H$767,8,FALSE)</f>
        <v>3</v>
      </c>
      <c r="J196" s="67"/>
      <c r="K196" s="68">
        <f>IF(VLOOKUP(D196,A!A$1:H$767,4,FALSE)="y",1,0)</f>
        <v>0</v>
      </c>
      <c r="L196" s="68">
        <f>IF(VLOOKUP(D196,A!A$1:H$767,5,FALSE)="y",1,0)</f>
        <v>0</v>
      </c>
      <c r="M196" s="711"/>
      <c r="N196" s="67">
        <f>VLOOKUP(D196,A!A$1:H$767,6,FALSE)</f>
        <v>0</v>
      </c>
      <c r="O196" s="93" t="s">
        <v>73</v>
      </c>
      <c r="P196" s="10">
        <f>VLOOKUP(D196,A!A$1:G$767,2,FALSE)</f>
        <v>0</v>
      </c>
      <c r="Q196" s="10" t="s">
        <v>57</v>
      </c>
      <c r="R196" s="10">
        <f t="shared" si="19"/>
        <v>0</v>
      </c>
      <c r="S196" s="10">
        <f>VLOOKUP(D196,A!A$1:AK$767,31,FALSE)</f>
        <v>35</v>
      </c>
      <c r="T196" s="10">
        <v>0.2</v>
      </c>
      <c r="U196" s="10">
        <f t="shared" si="20"/>
        <v>0</v>
      </c>
      <c r="X196" s="10"/>
    </row>
    <row r="197" spans="1:24" ht="11.25" hidden="1" customHeight="1" x14ac:dyDescent="0.25">
      <c r="A197" s="1" t="str">
        <f>IF(R197=0,"",COUNTIF(A$23:A196,"&gt;0")+1)</f>
        <v/>
      </c>
      <c r="B197" s="87"/>
      <c r="C197" s="63" t="s">
        <v>51</v>
      </c>
      <c r="D197" s="88" t="s">
        <v>360</v>
      </c>
      <c r="E197" s="65"/>
      <c r="F197" s="65"/>
      <c r="G197" s="89" t="s">
        <v>361</v>
      </c>
      <c r="H197" s="90" t="s">
        <v>362</v>
      </c>
      <c r="I197" s="67">
        <f>VLOOKUP(D197,A!A$1:H$767,8,FALSE)</f>
        <v>1</v>
      </c>
      <c r="J197" s="67"/>
      <c r="K197" s="68">
        <f>IF(VLOOKUP(D197,A!A$1:H$767,4,FALSE)="y",1,0)</f>
        <v>0</v>
      </c>
      <c r="L197" s="68">
        <f>IF(VLOOKUP(D197,A!A$1:H$767,5,FALSE)="y",1,0)</f>
        <v>0</v>
      </c>
      <c r="M197" s="711"/>
      <c r="N197" s="67">
        <f>VLOOKUP(D197,A!A$1:H$767,6,FALSE)</f>
        <v>0</v>
      </c>
      <c r="O197" s="93" t="s">
        <v>73</v>
      </c>
      <c r="P197" s="10">
        <f>VLOOKUP(D197,A!A$1:G$767,2,FALSE)</f>
        <v>0</v>
      </c>
      <c r="Q197" s="10" t="s">
        <v>57</v>
      </c>
      <c r="R197" s="10">
        <f t="shared" si="19"/>
        <v>0</v>
      </c>
      <c r="S197" s="10">
        <f>VLOOKUP(D197,A!A$1:AK$767,31,FALSE)</f>
        <v>35</v>
      </c>
      <c r="T197" s="10">
        <v>0.2</v>
      </c>
      <c r="U197" s="10">
        <f t="shared" si="20"/>
        <v>0</v>
      </c>
      <c r="X197" s="10"/>
    </row>
    <row r="198" spans="1:24" ht="11.25" customHeight="1" x14ac:dyDescent="0.25">
      <c r="A198" s="1" t="str">
        <f>IF(R198=0,"",COUNTIF(A$23:A197,"&gt;0")+1)</f>
        <v/>
      </c>
      <c r="B198" s="87"/>
      <c r="C198" s="63" t="s">
        <v>51</v>
      </c>
      <c r="D198" s="88" t="s">
        <v>363</v>
      </c>
      <c r="E198" s="65"/>
      <c r="F198" s="65"/>
      <c r="G198" s="89" t="s">
        <v>364</v>
      </c>
      <c r="H198" s="90" t="s">
        <v>365</v>
      </c>
      <c r="I198" s="67">
        <f>VLOOKUP(D198,A!A$1:H$767,8,FALSE)</f>
        <v>2</v>
      </c>
      <c r="J198" s="67"/>
      <c r="K198" s="68">
        <f>IF(VLOOKUP(D198,A!A$1:H$767,4,FALSE)="y",1,0)</f>
        <v>1</v>
      </c>
      <c r="L198" s="68">
        <f>IF(VLOOKUP(D198,A!A$1:H$767,5,FALSE)="y",1,0)</f>
        <v>0</v>
      </c>
      <c r="M198" s="711"/>
      <c r="N198" s="67">
        <f>VLOOKUP(D198,A!A$1:H$767,6,FALSE)</f>
        <v>0</v>
      </c>
      <c r="O198" s="93" t="s">
        <v>73</v>
      </c>
      <c r="P198" s="10" t="str">
        <f>VLOOKUP(D198,A!A$1:G$767,2,FALSE)</f>
        <v>y</v>
      </c>
      <c r="Q198" s="10" t="s">
        <v>57</v>
      </c>
      <c r="R198" s="10">
        <f t="shared" si="19"/>
        <v>0</v>
      </c>
      <c r="S198" s="10">
        <f>VLOOKUP(D198,A!A$1:AK$767,31,FALSE)</f>
        <v>55</v>
      </c>
      <c r="T198" s="10">
        <v>0.2</v>
      </c>
      <c r="U198" s="10">
        <f t="shared" si="20"/>
        <v>0</v>
      </c>
      <c r="X198" s="10"/>
    </row>
    <row r="199" spans="1:24" ht="11.25" hidden="1" customHeight="1" x14ac:dyDescent="0.25">
      <c r="A199" s="1" t="str">
        <f>IF(R199=0,"",COUNTIF(A$23:A198,"&gt;0")+1)</f>
        <v/>
      </c>
      <c r="B199" s="87"/>
      <c r="C199" s="63" t="s">
        <v>51</v>
      </c>
      <c r="D199" s="88" t="s">
        <v>366</v>
      </c>
      <c r="E199" s="65"/>
      <c r="F199" s="65"/>
      <c r="G199" s="89" t="s">
        <v>364</v>
      </c>
      <c r="H199" s="90" t="s">
        <v>365</v>
      </c>
      <c r="I199" s="67">
        <f>VLOOKUP(D199,A!A$1:H$767,8,FALSE)</f>
        <v>2</v>
      </c>
      <c r="J199" s="67"/>
      <c r="K199" s="68">
        <f>IF(VLOOKUP(D199,A!A$1:H$767,4,FALSE)="y",1,0)</f>
        <v>0</v>
      </c>
      <c r="L199" s="68">
        <f>IF(VLOOKUP(D199,A!A$1:H$767,5,FALSE)="y",1,0)</f>
        <v>0</v>
      </c>
      <c r="M199" s="711"/>
      <c r="N199" s="67">
        <f>VLOOKUP(D199,A!A$1:H$767,6,FALSE)</f>
        <v>0</v>
      </c>
      <c r="O199" s="93" t="s">
        <v>367</v>
      </c>
      <c r="P199" s="10">
        <f>VLOOKUP(D199,A!A$1:G$767,2,FALSE)</f>
        <v>0</v>
      </c>
      <c r="Q199" s="10" t="s">
        <v>57</v>
      </c>
      <c r="R199" s="10">
        <f t="shared" si="19"/>
        <v>0</v>
      </c>
      <c r="S199" s="10">
        <f>VLOOKUP(D199,A!A$1:AK$767,31,FALSE)</f>
        <v>35</v>
      </c>
      <c r="T199" s="10">
        <v>0.2</v>
      </c>
      <c r="U199" s="10">
        <f t="shared" si="20"/>
        <v>0</v>
      </c>
      <c r="X199" s="10"/>
    </row>
    <row r="200" spans="1:24" ht="11.25" hidden="1" customHeight="1" x14ac:dyDescent="0.25">
      <c r="A200" s="1" t="str">
        <f>IF(R200=0,"",COUNTIF(A$23:A199,"&gt;0")+1)</f>
        <v/>
      </c>
      <c r="B200" s="87"/>
      <c r="C200" s="63" t="s">
        <v>51</v>
      </c>
      <c r="D200" s="88" t="s">
        <v>368</v>
      </c>
      <c r="E200" s="65"/>
      <c r="F200" s="65"/>
      <c r="G200" s="89" t="s">
        <v>364</v>
      </c>
      <c r="H200" s="90" t="s">
        <v>365</v>
      </c>
      <c r="I200" s="67">
        <f>VLOOKUP(D200,A!A$1:H$767,8,FALSE)</f>
        <v>2</v>
      </c>
      <c r="J200" s="67"/>
      <c r="K200" s="68">
        <f>IF(VLOOKUP(D200,A!A$1:H$767,4,FALSE)="y",1,0)</f>
        <v>0</v>
      </c>
      <c r="L200" s="68">
        <f>IF(VLOOKUP(D200,A!A$1:H$767,5,FALSE)="y",1,0)</f>
        <v>0</v>
      </c>
      <c r="M200" s="711"/>
      <c r="N200" s="67">
        <f>VLOOKUP(D200,A!A$1:H$767,6,FALSE)</f>
        <v>0</v>
      </c>
      <c r="O200" s="93" t="s">
        <v>369</v>
      </c>
      <c r="P200" s="10">
        <f>VLOOKUP(D200,A!A$1:G$767,2,FALSE)</f>
        <v>0</v>
      </c>
      <c r="Q200" s="10" t="s">
        <v>57</v>
      </c>
      <c r="R200" s="10">
        <f t="shared" si="19"/>
        <v>0</v>
      </c>
      <c r="S200" s="10" t="str">
        <f>VLOOKUP(D200,A!A$1:AK$767,31,FALSE)</f>
        <v/>
      </c>
      <c r="T200" s="10">
        <v>0.2</v>
      </c>
      <c r="U200" s="10">
        <f t="shared" si="20"/>
        <v>0</v>
      </c>
      <c r="X200" s="10"/>
    </row>
    <row r="201" spans="1:24" ht="11.25" hidden="1" customHeight="1" x14ac:dyDescent="0.25">
      <c r="A201" s="1" t="str">
        <f>IF(R201=0,"",COUNTIF(A$23:A200,"&gt;0")+1)</f>
        <v/>
      </c>
      <c r="B201" s="87"/>
      <c r="C201" s="63" t="s">
        <v>51</v>
      </c>
      <c r="D201" s="88" t="s">
        <v>370</v>
      </c>
      <c r="E201" s="65"/>
      <c r="F201" s="65"/>
      <c r="G201" s="89" t="s">
        <v>371</v>
      </c>
      <c r="H201" s="90" t="s">
        <v>372</v>
      </c>
      <c r="I201" s="67">
        <f>VLOOKUP(D201,A!A$1:H$767,8,FALSE)</f>
        <v>1</v>
      </c>
      <c r="J201" s="67"/>
      <c r="K201" s="68">
        <f>IF(VLOOKUP(D201,A!A$1:H$767,4,FALSE)="y",1,0)</f>
        <v>0</v>
      </c>
      <c r="L201" s="68">
        <f>IF(VLOOKUP(D201,A!A$1:H$767,5,FALSE)="y",1,0)</f>
        <v>0</v>
      </c>
      <c r="M201" s="711"/>
      <c r="N201" s="67">
        <f>VLOOKUP(D201,A!A$1:H$767,6,FALSE)</f>
        <v>0</v>
      </c>
      <c r="O201" s="93">
        <v>1</v>
      </c>
      <c r="P201" s="10">
        <f>VLOOKUP(D201,A!A$1:G$767,2,FALSE)</f>
        <v>0</v>
      </c>
      <c r="Q201" s="10" t="s">
        <v>57</v>
      </c>
      <c r="R201" s="10">
        <f t="shared" si="19"/>
        <v>0</v>
      </c>
      <c r="S201" s="10">
        <f>VLOOKUP(D201,A!A$1:AK$767,31,FALSE)</f>
        <v>25</v>
      </c>
      <c r="T201" s="10">
        <v>0.2</v>
      </c>
      <c r="U201" s="10">
        <f t="shared" si="20"/>
        <v>0</v>
      </c>
      <c r="X201" s="10"/>
    </row>
    <row r="202" spans="1:24" ht="11.25" hidden="1" customHeight="1" x14ac:dyDescent="0.25">
      <c r="A202" s="1" t="str">
        <f>IF(R202=0,"",COUNTIF(A$23:A201,"&gt;0")+1)</f>
        <v/>
      </c>
      <c r="B202" s="87"/>
      <c r="C202" s="63" t="s">
        <v>51</v>
      </c>
      <c r="D202" s="88" t="s">
        <v>373</v>
      </c>
      <c r="E202" s="65"/>
      <c r="F202" s="65"/>
      <c r="G202" s="89" t="s">
        <v>374</v>
      </c>
      <c r="H202" s="90" t="s">
        <v>375</v>
      </c>
      <c r="I202" s="67">
        <f>VLOOKUP(D202,A!A$1:H$767,8,FALSE)</f>
        <v>1</v>
      </c>
      <c r="J202" s="67"/>
      <c r="K202" s="68">
        <f>IF(VLOOKUP(D202,A!A$1:H$767,4,FALSE)="y",1,0)</f>
        <v>0</v>
      </c>
      <c r="L202" s="68">
        <f>IF(VLOOKUP(D202,A!A$1:H$767,5,FALSE)="y",1,0)</f>
        <v>0</v>
      </c>
      <c r="M202" s="711"/>
      <c r="N202" s="67"/>
      <c r="O202" s="93" t="s">
        <v>73</v>
      </c>
      <c r="P202" s="10">
        <f>VLOOKUP(D202,A!A$1:G$767,2,FALSE)</f>
        <v>0</v>
      </c>
      <c r="Q202" s="10" t="s">
        <v>57</v>
      </c>
      <c r="R202" s="10">
        <f t="shared" si="19"/>
        <v>0</v>
      </c>
      <c r="S202" s="10">
        <f>VLOOKUP(D202,A!A$1:AK$767,31,FALSE)</f>
        <v>35</v>
      </c>
      <c r="T202" s="10">
        <v>0.2</v>
      </c>
      <c r="U202" s="10">
        <f t="shared" si="20"/>
        <v>0</v>
      </c>
      <c r="X202" s="10"/>
    </row>
    <row r="203" spans="1:24" ht="11.25" hidden="1" customHeight="1" x14ac:dyDescent="0.25">
      <c r="A203" s="1" t="str">
        <f>IF(R203=0,"",COUNTIF(A$23:A202,"&gt;0")+1)</f>
        <v/>
      </c>
      <c r="B203" s="87"/>
      <c r="C203" s="63" t="s">
        <v>51</v>
      </c>
      <c r="D203" s="88" t="s">
        <v>376</v>
      </c>
      <c r="E203" s="65"/>
      <c r="F203" s="65"/>
      <c r="G203" s="89" t="s">
        <v>374</v>
      </c>
      <c r="H203" s="90" t="s">
        <v>377</v>
      </c>
      <c r="I203" s="67">
        <f>VLOOKUP(D203,A!A$1:H$767,8,FALSE)</f>
        <v>1</v>
      </c>
      <c r="J203" s="67"/>
      <c r="K203" s="68">
        <f>IF(VLOOKUP(D203,A!A$1:H$767,4,FALSE)="y",1,0)</f>
        <v>0</v>
      </c>
      <c r="L203" s="68">
        <f>IF(VLOOKUP(D203,A!A$1:H$767,5,FALSE)="y",1,0)</f>
        <v>0</v>
      </c>
      <c r="M203" s="711"/>
      <c r="N203" s="67">
        <f>VLOOKUP(D203,A!A$1:H$767,6,FALSE)</f>
        <v>0</v>
      </c>
      <c r="O203" s="93" t="s">
        <v>378</v>
      </c>
      <c r="P203" s="10">
        <f>VLOOKUP(D203,A!A$1:G$767,2,FALSE)</f>
        <v>0</v>
      </c>
      <c r="Q203" s="10" t="s">
        <v>57</v>
      </c>
      <c r="R203" s="10">
        <f t="shared" si="19"/>
        <v>0</v>
      </c>
      <c r="S203" s="10">
        <f>VLOOKUP(D203,A!A$1:AK$767,31,FALSE)</f>
        <v>35</v>
      </c>
      <c r="T203" s="10">
        <v>0.2</v>
      </c>
      <c r="U203" s="10">
        <f t="shared" si="20"/>
        <v>0</v>
      </c>
      <c r="X203" s="10"/>
    </row>
    <row r="204" spans="1:24" ht="11.25" hidden="1" customHeight="1" x14ac:dyDescent="0.25">
      <c r="A204" s="1" t="str">
        <f>IF(R204=0,"",COUNTIF(A$23:A203,"&gt;0")+1)</f>
        <v/>
      </c>
      <c r="B204" s="87"/>
      <c r="C204" s="63" t="s">
        <v>51</v>
      </c>
      <c r="D204" s="88" t="s">
        <v>379</v>
      </c>
      <c r="E204" s="65"/>
      <c r="F204" s="65"/>
      <c r="G204" s="89" t="s">
        <v>374</v>
      </c>
      <c r="H204" s="90" t="s">
        <v>380</v>
      </c>
      <c r="I204" s="67">
        <f>VLOOKUP(D204,A!A$1:H$767,8,FALSE)</f>
        <v>1</v>
      </c>
      <c r="J204" s="67"/>
      <c r="K204" s="68">
        <f>IF(VLOOKUP(D204,A!A$1:H$767,4,FALSE)="y",1,0)</f>
        <v>0</v>
      </c>
      <c r="L204" s="68">
        <f>IF(VLOOKUP(D204,A!A$1:H$767,5,FALSE)="y",1,0)</f>
        <v>0</v>
      </c>
      <c r="M204" s="711"/>
      <c r="N204" s="67">
        <f>VLOOKUP(D204,A!A$1:H$767,6,FALSE)</f>
        <v>0</v>
      </c>
      <c r="O204" s="93" t="s">
        <v>73</v>
      </c>
      <c r="P204" s="10">
        <f>VLOOKUP(D204,A!A$1:G$767,2,FALSE)</f>
        <v>0</v>
      </c>
      <c r="Q204" s="10" t="s">
        <v>57</v>
      </c>
      <c r="R204" s="10">
        <f t="shared" si="19"/>
        <v>0</v>
      </c>
      <c r="S204" s="10">
        <f>VLOOKUP(D204,A!A$1:AK$767,31,FALSE)</f>
        <v>35</v>
      </c>
      <c r="T204" s="10">
        <v>0.2</v>
      </c>
      <c r="U204" s="10">
        <f t="shared" si="20"/>
        <v>0</v>
      </c>
      <c r="X204" s="10"/>
    </row>
    <row r="205" spans="1:24" ht="11.25" hidden="1" customHeight="1" x14ac:dyDescent="0.25">
      <c r="A205" s="1" t="str">
        <f>IF(R205=0,"",COUNTIF(A$23:A204,"&gt;0")+1)</f>
        <v/>
      </c>
      <c r="B205" s="87"/>
      <c r="C205" s="63" t="s">
        <v>51</v>
      </c>
      <c r="D205" s="88" t="s">
        <v>381</v>
      </c>
      <c r="E205" s="65"/>
      <c r="F205" s="65"/>
      <c r="G205" s="89" t="s">
        <v>382</v>
      </c>
      <c r="H205" s="90" t="s">
        <v>383</v>
      </c>
      <c r="I205" s="67">
        <f>VLOOKUP(D205,A!A$1:H$767,8,FALSE)</f>
        <v>2</v>
      </c>
      <c r="J205" s="67"/>
      <c r="K205" s="68">
        <f>IF(VLOOKUP(D205,A!A$1:H$767,4,FALSE)="y",1,0)</f>
        <v>0</v>
      </c>
      <c r="L205" s="68">
        <f>IF(VLOOKUP(D205,A!A$1:H$767,5,FALSE)="y",1,0)</f>
        <v>0</v>
      </c>
      <c r="M205" s="711"/>
      <c r="N205" s="67">
        <f>VLOOKUP(D205,A!A$1:H$767,6,FALSE)</f>
        <v>0</v>
      </c>
      <c r="O205" s="93">
        <v>2</v>
      </c>
      <c r="P205" s="10">
        <f>VLOOKUP(D205,A!A$1:G$767,2,FALSE)</f>
        <v>0</v>
      </c>
      <c r="Q205" s="10" t="s">
        <v>57</v>
      </c>
      <c r="R205" s="10">
        <f t="shared" si="19"/>
        <v>0</v>
      </c>
      <c r="S205" s="10">
        <f>VLOOKUP(D205,A!A$1:AK$767,31,FALSE)</f>
        <v>25</v>
      </c>
      <c r="T205" s="10">
        <v>0.2</v>
      </c>
      <c r="U205" s="10">
        <f t="shared" si="20"/>
        <v>0</v>
      </c>
      <c r="X205" s="10"/>
    </row>
    <row r="206" spans="1:24" ht="11.25" hidden="1" customHeight="1" x14ac:dyDescent="0.25">
      <c r="A206" s="1" t="str">
        <f>IF(R206=0,"",COUNTIF(A$23:A205,"&gt;0")+1)</f>
        <v/>
      </c>
      <c r="B206" s="87"/>
      <c r="C206" s="63" t="s">
        <v>51</v>
      </c>
      <c r="D206" s="88" t="s">
        <v>384</v>
      </c>
      <c r="E206" s="65"/>
      <c r="F206" s="65"/>
      <c r="G206" s="89" t="s">
        <v>382</v>
      </c>
      <c r="H206" s="90" t="s">
        <v>383</v>
      </c>
      <c r="I206" s="67">
        <f>VLOOKUP(D206,A!A$1:H$767,8,FALSE)</f>
        <v>2</v>
      </c>
      <c r="J206" s="67"/>
      <c r="K206" s="68">
        <f>IF(VLOOKUP(D206,A!A$1:H$767,4,FALSE)="y",1,0)</f>
        <v>0</v>
      </c>
      <c r="L206" s="68">
        <f>IF(VLOOKUP(D206,A!A$1:H$767,5,FALSE)="y",1,0)</f>
        <v>0</v>
      </c>
      <c r="M206" s="711"/>
      <c r="N206" s="67">
        <f>VLOOKUP(D206,A!A$1:H$767,6,FALSE)</f>
        <v>0</v>
      </c>
      <c r="O206" s="93">
        <v>2</v>
      </c>
      <c r="P206" s="10">
        <f>VLOOKUP(D206,A!A$1:G$767,2,FALSE)</f>
        <v>0</v>
      </c>
      <c r="Q206" s="10" t="s">
        <v>57</v>
      </c>
      <c r="R206" s="10">
        <f t="shared" si="19"/>
        <v>0</v>
      </c>
      <c r="S206" s="10">
        <f>VLOOKUP(D206,A!A$1:AK$767,31,FALSE)</f>
        <v>25</v>
      </c>
      <c r="T206" s="10">
        <v>0.2</v>
      </c>
      <c r="U206" s="10">
        <f t="shared" si="20"/>
        <v>0</v>
      </c>
      <c r="X206" s="10"/>
    </row>
    <row r="207" spans="1:24" ht="11.25" hidden="1" customHeight="1" x14ac:dyDescent="0.25">
      <c r="A207" s="1" t="str">
        <f>IF(R207=0,"",COUNTIF(A$23:A206,"&gt;0")+1)</f>
        <v/>
      </c>
      <c r="B207" s="87"/>
      <c r="C207" s="63" t="s">
        <v>51</v>
      </c>
      <c r="D207" s="88" t="s">
        <v>385</v>
      </c>
      <c r="E207" s="65"/>
      <c r="F207" s="65"/>
      <c r="G207" s="89" t="s">
        <v>386</v>
      </c>
      <c r="H207" s="90" t="s">
        <v>387</v>
      </c>
      <c r="I207" s="67">
        <f>VLOOKUP(D207,A!A$1:H$767,8,FALSE)</f>
        <v>2</v>
      </c>
      <c r="J207" s="67"/>
      <c r="K207" s="68">
        <f>IF(VLOOKUP(D207,A!A$1:H$767,4,FALSE)="y",1,0)</f>
        <v>0</v>
      </c>
      <c r="L207" s="68">
        <f>IF(VLOOKUP(D207,A!A$1:H$767,5,FALSE)="y",1,0)</f>
        <v>0</v>
      </c>
      <c r="M207" s="711"/>
      <c r="N207" s="67">
        <f>VLOOKUP(D207,A!A$1:H$767,6,FALSE)</f>
        <v>0</v>
      </c>
      <c r="O207" s="93">
        <v>1</v>
      </c>
      <c r="P207" s="10">
        <f>VLOOKUP(D207,A!A$1:G$767,2,FALSE)</f>
        <v>0</v>
      </c>
      <c r="Q207" s="10" t="s">
        <v>57</v>
      </c>
      <c r="R207" s="10">
        <f t="shared" si="19"/>
        <v>0</v>
      </c>
      <c r="S207" s="10">
        <f>VLOOKUP(D207,A!A$1:AK$767,31,FALSE)</f>
        <v>35</v>
      </c>
      <c r="T207" s="10">
        <v>0.2</v>
      </c>
      <c r="U207" s="10">
        <f t="shared" si="20"/>
        <v>0</v>
      </c>
      <c r="X207" s="10"/>
    </row>
    <row r="208" spans="1:24" ht="11.25" hidden="1" customHeight="1" x14ac:dyDescent="0.25">
      <c r="A208" s="1" t="str">
        <f>IF(R208=0,"",COUNTIF(A$23:A207,"&gt;0")+1)</f>
        <v/>
      </c>
      <c r="B208" s="87"/>
      <c r="C208" s="63" t="s">
        <v>51</v>
      </c>
      <c r="D208" s="88" t="s">
        <v>388</v>
      </c>
      <c r="E208" s="65"/>
      <c r="F208" s="65"/>
      <c r="G208" s="89" t="s">
        <v>389</v>
      </c>
      <c r="H208" s="90" t="s">
        <v>390</v>
      </c>
      <c r="I208" s="67">
        <f>VLOOKUP(D208,A!A$1:H$767,8,FALSE)</f>
        <v>2</v>
      </c>
      <c r="J208" s="67"/>
      <c r="K208" s="68">
        <f>IF(VLOOKUP(D208,A!A$1:H$767,4,FALSE)="y",1,0)</f>
        <v>0</v>
      </c>
      <c r="L208" s="68">
        <f>IF(VLOOKUP(D208,A!A$1:H$767,5,FALSE)="y",1,0)</f>
        <v>0</v>
      </c>
      <c r="M208" s="711"/>
      <c r="N208" s="67">
        <f>VLOOKUP(D208,A!A$1:H$767,6,FALSE)</f>
        <v>0</v>
      </c>
      <c r="O208" s="93">
        <v>1</v>
      </c>
      <c r="P208" s="10">
        <f>VLOOKUP(D208,A!A$1:G$767,2,FALSE)</f>
        <v>0</v>
      </c>
      <c r="Q208" s="10" t="s">
        <v>57</v>
      </c>
      <c r="R208" s="10">
        <f t="shared" si="19"/>
        <v>0</v>
      </c>
      <c r="S208" s="10" t="str">
        <f>VLOOKUP(D208,A!A$1:AK$767,31,FALSE)</f>
        <v/>
      </c>
      <c r="T208" s="10">
        <v>0.2</v>
      </c>
      <c r="U208" s="10">
        <f t="shared" si="20"/>
        <v>0</v>
      </c>
      <c r="X208" s="10"/>
    </row>
    <row r="209" spans="1:24" ht="11.25" hidden="1" customHeight="1" x14ac:dyDescent="0.25">
      <c r="A209" s="1" t="str">
        <f>IF(R209=0,"",COUNTIF(A$23:A208,"&gt;0")+1)</f>
        <v/>
      </c>
      <c r="B209" s="87"/>
      <c r="C209" s="63" t="s">
        <v>51</v>
      </c>
      <c r="D209" s="88" t="s">
        <v>391</v>
      </c>
      <c r="E209" s="65"/>
      <c r="F209" s="65"/>
      <c r="G209" s="89" t="s">
        <v>392</v>
      </c>
      <c r="H209" s="90" t="s">
        <v>393</v>
      </c>
      <c r="I209" s="67">
        <f>VLOOKUP(D209,A!A$1:H$767,8,FALSE)</f>
        <v>2</v>
      </c>
      <c r="J209" s="67"/>
      <c r="K209" s="68">
        <f>IF(VLOOKUP(D209,A!A$1:H$767,4,FALSE)="y",1,0)</f>
        <v>0</v>
      </c>
      <c r="L209" s="68">
        <f>IF(VLOOKUP(D209,A!A$1:H$767,5,FALSE)="y",1,0)</f>
        <v>0</v>
      </c>
      <c r="M209" s="711"/>
      <c r="N209" s="67">
        <f>VLOOKUP(D209,A!A$1:H$767,6,FALSE)</f>
        <v>0</v>
      </c>
      <c r="O209" s="93">
        <v>1</v>
      </c>
      <c r="P209" s="10">
        <f>VLOOKUP(D209,A!A$1:G$767,2,FALSE)</f>
        <v>0</v>
      </c>
      <c r="Q209" s="10" t="s">
        <v>57</v>
      </c>
      <c r="R209" s="10">
        <f t="shared" si="19"/>
        <v>0</v>
      </c>
      <c r="S209" s="10">
        <f>VLOOKUP(D209,A!A$1:AK$767,31,FALSE)</f>
        <v>35</v>
      </c>
      <c r="T209" s="10">
        <v>0.2</v>
      </c>
      <c r="U209" s="10">
        <f t="shared" si="20"/>
        <v>0</v>
      </c>
      <c r="X209" s="10"/>
    </row>
    <row r="210" spans="1:24" ht="11.25" hidden="1" customHeight="1" x14ac:dyDescent="0.25">
      <c r="A210" s="1" t="str">
        <f>IF(R210=0,"",COUNTIF(A$23:A209,"&gt;0")+1)</f>
        <v/>
      </c>
      <c r="B210" s="87"/>
      <c r="C210" s="63" t="s">
        <v>51</v>
      </c>
      <c r="D210" s="88" t="s">
        <v>394</v>
      </c>
      <c r="E210" s="65"/>
      <c r="F210" s="65"/>
      <c r="G210" s="89" t="s">
        <v>395</v>
      </c>
      <c r="H210" s="90" t="s">
        <v>396</v>
      </c>
      <c r="I210" s="67">
        <f>VLOOKUP(D210,A!A$1:H$767,8,FALSE)</f>
        <v>2</v>
      </c>
      <c r="J210" s="67"/>
      <c r="K210" s="68">
        <f>IF(VLOOKUP(D210,A!A$1:H$767,4,FALSE)="y",1,0)</f>
        <v>0</v>
      </c>
      <c r="L210" s="68">
        <f>IF(VLOOKUP(D210,A!A$1:H$767,5,FALSE)="y",1,0)</f>
        <v>0</v>
      </c>
      <c r="M210" s="711"/>
      <c r="N210" s="67">
        <f>VLOOKUP(D210,A!A$1:H$767,6,FALSE)</f>
        <v>0</v>
      </c>
      <c r="O210" s="93">
        <v>1</v>
      </c>
      <c r="P210" s="10">
        <f>VLOOKUP(D210,A!A$1:G$767,2,FALSE)</f>
        <v>0</v>
      </c>
      <c r="Q210" s="10" t="s">
        <v>57</v>
      </c>
      <c r="R210" s="10">
        <f t="shared" si="19"/>
        <v>0</v>
      </c>
      <c r="S210" s="10">
        <f>VLOOKUP(D210,A!A$1:AK$767,31,FALSE)</f>
        <v>35</v>
      </c>
      <c r="T210" s="10">
        <v>0.2</v>
      </c>
      <c r="U210" s="10">
        <f t="shared" si="20"/>
        <v>0</v>
      </c>
      <c r="X210" s="10"/>
    </row>
    <row r="211" spans="1:24" ht="11.25" hidden="1" customHeight="1" x14ac:dyDescent="0.25">
      <c r="A211" s="1" t="str">
        <f>IF(R211=0,"",COUNTIF(A$23:A210,"&gt;0")+1)</f>
        <v/>
      </c>
      <c r="B211" s="87"/>
      <c r="C211" s="63" t="s">
        <v>51</v>
      </c>
      <c r="D211" s="88" t="s">
        <v>397</v>
      </c>
      <c r="E211" s="65"/>
      <c r="F211" s="65"/>
      <c r="G211" s="89" t="s">
        <v>398</v>
      </c>
      <c r="H211" s="90" t="s">
        <v>399</v>
      </c>
      <c r="I211" s="67">
        <f>VLOOKUP(D211,A!A$1:H$767,8,FALSE)</f>
        <v>2</v>
      </c>
      <c r="J211" s="67"/>
      <c r="K211" s="68">
        <f>IF(VLOOKUP(D211,A!A$1:H$767,4,FALSE)="y",1,0)</f>
        <v>0</v>
      </c>
      <c r="L211" s="68">
        <f>IF(VLOOKUP(D211,A!A$1:H$767,5,FALSE)="y",1,0)</f>
        <v>0</v>
      </c>
      <c r="M211" s="711"/>
      <c r="N211" s="67">
        <f>VLOOKUP(D211,A!A$1:H$767,6,FALSE)</f>
        <v>0</v>
      </c>
      <c r="O211" s="93">
        <v>1</v>
      </c>
      <c r="P211" s="10">
        <f>VLOOKUP(D211,A!A$1:G$767,2,FALSE)</f>
        <v>0</v>
      </c>
      <c r="Q211" s="10" t="s">
        <v>57</v>
      </c>
      <c r="R211" s="10">
        <f t="shared" si="19"/>
        <v>0</v>
      </c>
      <c r="S211" s="10" t="str">
        <f>VLOOKUP(D211,A!A$1:AK$767,31,FALSE)</f>
        <v/>
      </c>
      <c r="T211" s="10">
        <v>0.2</v>
      </c>
      <c r="U211" s="10">
        <f t="shared" si="20"/>
        <v>0</v>
      </c>
      <c r="X211" s="10"/>
    </row>
    <row r="212" spans="1:24" ht="11.25" hidden="1" customHeight="1" x14ac:dyDescent="0.25">
      <c r="A212" s="1" t="str">
        <f>IF(R212=0,"",COUNTIF(A$23:A211,"&gt;0")+1)</f>
        <v/>
      </c>
      <c r="B212" s="87"/>
      <c r="C212" s="63" t="s">
        <v>51</v>
      </c>
      <c r="D212" s="88" t="s">
        <v>400</v>
      </c>
      <c r="E212" s="65"/>
      <c r="F212" s="65"/>
      <c r="G212" s="89" t="s">
        <v>398</v>
      </c>
      <c r="H212" s="90" t="s">
        <v>401</v>
      </c>
      <c r="I212" s="67">
        <f>VLOOKUP(D212,A!A$1:H$767,8,FALSE)</f>
        <v>2</v>
      </c>
      <c r="J212" s="67"/>
      <c r="K212" s="68">
        <f>IF(VLOOKUP(D212,A!A$1:H$767,4,FALSE)="y",1,0)</f>
        <v>0</v>
      </c>
      <c r="L212" s="68">
        <f>IF(VLOOKUP(D212,A!A$1:H$767,5,FALSE)="y",1,0)</f>
        <v>0</v>
      </c>
      <c r="M212" s="711"/>
      <c r="N212" s="67">
        <f>VLOOKUP(D212,A!A$1:H$767,6,FALSE)</f>
        <v>0</v>
      </c>
      <c r="O212" s="93">
        <v>1</v>
      </c>
      <c r="P212" s="10">
        <f>VLOOKUP(D212,A!A$1:G$767,2,FALSE)</f>
        <v>0</v>
      </c>
      <c r="Q212" s="10" t="s">
        <v>57</v>
      </c>
      <c r="R212" s="10">
        <f t="shared" si="19"/>
        <v>0</v>
      </c>
      <c r="S212" s="10">
        <f>VLOOKUP(D212,A!A$1:AK$767,31,FALSE)</f>
        <v>35</v>
      </c>
      <c r="T212" s="10">
        <v>0.2</v>
      </c>
      <c r="U212" s="10">
        <f t="shared" si="20"/>
        <v>0</v>
      </c>
      <c r="X212" s="10"/>
    </row>
    <row r="213" spans="1:24" ht="11.25" hidden="1" customHeight="1" x14ac:dyDescent="0.25">
      <c r="A213" s="1" t="str">
        <f>IF(R213=0,"",COUNTIF(A$23:A212,"&gt;0")+1)</f>
        <v/>
      </c>
      <c r="B213" s="87"/>
      <c r="C213" s="63" t="s">
        <v>51</v>
      </c>
      <c r="D213" s="88" t="s">
        <v>402</v>
      </c>
      <c r="E213" s="65"/>
      <c r="F213" s="65"/>
      <c r="G213" s="89" t="s">
        <v>395</v>
      </c>
      <c r="H213" s="90" t="s">
        <v>403</v>
      </c>
      <c r="I213" s="67">
        <f>VLOOKUP(D213,A!A$1:H$767,8,FALSE)</f>
        <v>2</v>
      </c>
      <c r="J213" s="67"/>
      <c r="K213" s="68">
        <f>IF(VLOOKUP(D213,A!A$1:H$767,4,FALSE)="y",1,0)</f>
        <v>0</v>
      </c>
      <c r="L213" s="68">
        <f>IF(VLOOKUP(D213,A!A$1:H$767,5,FALSE)="y",1,0)</f>
        <v>0</v>
      </c>
      <c r="M213" s="711"/>
      <c r="N213" s="67">
        <f>VLOOKUP(D213,A!A$1:H$767,6,FALSE)</f>
        <v>0</v>
      </c>
      <c r="O213" s="93">
        <v>1</v>
      </c>
      <c r="P213" s="10">
        <f>VLOOKUP(D213,A!A$1:G$767,2,FALSE)</f>
        <v>0</v>
      </c>
      <c r="Q213" s="10" t="s">
        <v>57</v>
      </c>
      <c r="R213" s="10">
        <f t="shared" ref="R213:R245" si="21">B213</f>
        <v>0</v>
      </c>
      <c r="S213" s="10">
        <f>VLOOKUP(D213,A!A$1:AK$767,31,FALSE)</f>
        <v>35</v>
      </c>
      <c r="T213" s="10">
        <v>0.2</v>
      </c>
      <c r="U213" s="10">
        <f t="shared" ref="U213:U245" si="22">T213*B213</f>
        <v>0</v>
      </c>
      <c r="X213" s="10"/>
    </row>
    <row r="214" spans="1:24" ht="11.25" hidden="1" customHeight="1" x14ac:dyDescent="0.25">
      <c r="A214" s="1" t="str">
        <f>IF(R214=0,"",COUNTIF(A$23:A213,"&gt;0")+1)</f>
        <v/>
      </c>
      <c r="B214" s="87"/>
      <c r="C214" s="63" t="s">
        <v>51</v>
      </c>
      <c r="D214" s="88" t="s">
        <v>404</v>
      </c>
      <c r="E214" s="65"/>
      <c r="F214" s="65"/>
      <c r="G214" s="89" t="s">
        <v>405</v>
      </c>
      <c r="H214" s="90" t="s">
        <v>406</v>
      </c>
      <c r="I214" s="67">
        <f>VLOOKUP(D214,A!A$1:H$767,8,FALSE)</f>
        <v>2</v>
      </c>
      <c r="J214" s="67"/>
      <c r="K214" s="68">
        <f>IF(VLOOKUP(D214,A!A$1:H$767,4,FALSE)="y",1,0)</f>
        <v>0</v>
      </c>
      <c r="L214" s="68">
        <f>IF(VLOOKUP(D214,A!A$1:H$767,5,FALSE)="y",1,0)</f>
        <v>0</v>
      </c>
      <c r="M214" s="711"/>
      <c r="N214" s="67">
        <f>VLOOKUP(D214,A!A$1:H$767,6,FALSE)</f>
        <v>0</v>
      </c>
      <c r="O214" s="93">
        <v>1</v>
      </c>
      <c r="P214" s="10">
        <f>VLOOKUP(D214,A!A$1:G$767,2,FALSE)</f>
        <v>0</v>
      </c>
      <c r="Q214" s="10" t="s">
        <v>57</v>
      </c>
      <c r="R214" s="10">
        <f t="shared" si="21"/>
        <v>0</v>
      </c>
      <c r="S214" s="10" t="str">
        <f>VLOOKUP(D214,A!A$1:AK$767,31,FALSE)</f>
        <v/>
      </c>
      <c r="T214" s="10">
        <v>0.2</v>
      </c>
      <c r="U214" s="10">
        <f t="shared" si="22"/>
        <v>0</v>
      </c>
      <c r="X214" s="10"/>
    </row>
    <row r="215" spans="1:24" ht="11.25" hidden="1" customHeight="1" x14ac:dyDescent="0.25">
      <c r="A215" s="1" t="str">
        <f>IF(R215=0,"",COUNTIF(A$23:A214,"&gt;0")+1)</f>
        <v/>
      </c>
      <c r="B215" s="87"/>
      <c r="C215" s="63" t="s">
        <v>51</v>
      </c>
      <c r="D215" s="88" t="s">
        <v>407</v>
      </c>
      <c r="E215" s="65"/>
      <c r="F215" s="65"/>
      <c r="G215" s="89" t="s">
        <v>408</v>
      </c>
      <c r="H215" s="90" t="s">
        <v>409</v>
      </c>
      <c r="I215" s="67">
        <f>VLOOKUP(D215,A!A$1:H$767,8,FALSE)</f>
        <v>1</v>
      </c>
      <c r="J215" s="67"/>
      <c r="K215" s="68">
        <f>IF(VLOOKUP(D215,A!A$1:H$767,4,FALSE)="y",1,0)</f>
        <v>0</v>
      </c>
      <c r="L215" s="68">
        <f>IF(VLOOKUP(D215,A!A$1:H$767,5,FALSE)="y",1,0)</f>
        <v>0</v>
      </c>
      <c r="M215" s="711"/>
      <c r="N215" s="67">
        <f>VLOOKUP(D215,A!A$1:H$767,6,FALSE)</f>
        <v>0</v>
      </c>
      <c r="O215" s="93">
        <v>1</v>
      </c>
      <c r="P215" s="10">
        <f>VLOOKUP(D215,A!A$1:G$767,2,FALSE)</f>
        <v>0</v>
      </c>
      <c r="Q215" s="10" t="s">
        <v>57</v>
      </c>
      <c r="R215" s="10">
        <f t="shared" si="21"/>
        <v>0</v>
      </c>
      <c r="S215" s="10" t="str">
        <f>VLOOKUP(D215,A!A$1:AK$767,31,FALSE)</f>
        <v/>
      </c>
      <c r="T215" s="10">
        <v>0.2</v>
      </c>
      <c r="U215" s="10">
        <f t="shared" si="22"/>
        <v>0</v>
      </c>
      <c r="X215" s="10"/>
    </row>
    <row r="216" spans="1:24" ht="11.25" customHeight="1" x14ac:dyDescent="0.25">
      <c r="A216" s="1" t="str">
        <f>IF(R216=0,"",COUNTIF(A$23:A215,"&gt;0")+1)</f>
        <v/>
      </c>
      <c r="B216" s="87"/>
      <c r="C216" s="63" t="s">
        <v>51</v>
      </c>
      <c r="D216" s="88" t="s">
        <v>410</v>
      </c>
      <c r="E216" s="65"/>
      <c r="F216" s="65"/>
      <c r="G216" s="89" t="s">
        <v>398</v>
      </c>
      <c r="H216" s="90" t="s">
        <v>411</v>
      </c>
      <c r="I216" s="67">
        <f>VLOOKUP(D216,A!A$1:H$767,8,FALSE)</f>
        <v>2</v>
      </c>
      <c r="J216" s="67"/>
      <c r="K216" s="68">
        <f>IF(VLOOKUP(D216,A!A$1:H$767,4,FALSE)="y",1,0)</f>
        <v>1</v>
      </c>
      <c r="L216" s="68">
        <f>IF(VLOOKUP(D216,A!A$1:H$767,5,FALSE)="y",1,0)</f>
        <v>0</v>
      </c>
      <c r="M216" s="711"/>
      <c r="N216" s="67">
        <f>VLOOKUP(D216,A!A$1:H$767,6,FALSE)</f>
        <v>0</v>
      </c>
      <c r="O216" s="93">
        <v>1</v>
      </c>
      <c r="P216" s="10" t="str">
        <f>VLOOKUP(D216,A!A$1:G$767,2,FALSE)</f>
        <v>y</v>
      </c>
      <c r="Q216" s="10" t="s">
        <v>57</v>
      </c>
      <c r="R216" s="10">
        <f t="shared" si="21"/>
        <v>0</v>
      </c>
      <c r="S216" s="10">
        <v>35</v>
      </c>
      <c r="T216" s="10">
        <v>0.2</v>
      </c>
      <c r="U216" s="10">
        <f t="shared" si="22"/>
        <v>0</v>
      </c>
      <c r="X216" s="10"/>
    </row>
    <row r="217" spans="1:24" ht="11.25" hidden="1" customHeight="1" x14ac:dyDescent="0.25">
      <c r="A217" s="1" t="str">
        <f>IF(R217=0,"",COUNTIF(A$23:A216,"&gt;0")+1)</f>
        <v/>
      </c>
      <c r="B217" s="87"/>
      <c r="C217" s="63" t="s">
        <v>51</v>
      </c>
      <c r="D217" s="88" t="s">
        <v>412</v>
      </c>
      <c r="E217" s="65"/>
      <c r="F217" s="65"/>
      <c r="G217" s="89" t="s">
        <v>398</v>
      </c>
      <c r="H217" s="90" t="s">
        <v>413</v>
      </c>
      <c r="I217" s="67">
        <f>VLOOKUP(D217,A!A$1:H$767,8,FALSE)</f>
        <v>2</v>
      </c>
      <c r="J217" s="67"/>
      <c r="K217" s="68">
        <f>IF(VLOOKUP(D217,A!A$1:H$767,4,FALSE)="y",1,0)</f>
        <v>0</v>
      </c>
      <c r="L217" s="68">
        <f>IF(VLOOKUP(D217,A!A$1:H$767,5,FALSE)="y",1,0)</f>
        <v>0</v>
      </c>
      <c r="M217" s="711"/>
      <c r="N217" s="67">
        <f>VLOOKUP(D217,A!A$1:H$767,6,FALSE)</f>
        <v>0</v>
      </c>
      <c r="O217" s="93">
        <v>1</v>
      </c>
      <c r="P217" s="10">
        <f>VLOOKUP(D217,A!A$1:G$767,2,FALSE)</f>
        <v>0</v>
      </c>
      <c r="Q217" s="10" t="s">
        <v>57</v>
      </c>
      <c r="R217" s="10">
        <f t="shared" si="21"/>
        <v>0</v>
      </c>
      <c r="S217" s="10">
        <f>VLOOKUP(D217,A!A$1:AK$767,31,FALSE)</f>
        <v>35</v>
      </c>
      <c r="T217" s="10">
        <v>0.2</v>
      </c>
      <c r="U217" s="10">
        <f t="shared" si="22"/>
        <v>0</v>
      </c>
      <c r="X217" s="10"/>
    </row>
    <row r="218" spans="1:24" ht="11.25" hidden="1" customHeight="1" x14ac:dyDescent="0.25">
      <c r="A218" s="1" t="str">
        <f>IF(R218=0,"",COUNTIF(A$23:A217,"&gt;0")+1)</f>
        <v/>
      </c>
      <c r="B218" s="87"/>
      <c r="C218" s="63" t="s">
        <v>51</v>
      </c>
      <c r="D218" s="88" t="s">
        <v>414</v>
      </c>
      <c r="E218" s="65"/>
      <c r="F218" s="65"/>
      <c r="G218" s="89" t="s">
        <v>415</v>
      </c>
      <c r="H218" s="90" t="s">
        <v>416</v>
      </c>
      <c r="I218" s="67">
        <f>VLOOKUP(D218,A!A$1:H$767,8,FALSE)</f>
        <v>2</v>
      </c>
      <c r="J218" s="67"/>
      <c r="K218" s="68">
        <f>IF(VLOOKUP(D218,A!A$1:H$767,4,FALSE)="y",1,0)</f>
        <v>0</v>
      </c>
      <c r="L218" s="68">
        <f>IF(VLOOKUP(D218,A!A$1:H$767,5,FALSE)="y",1,0)</f>
        <v>0</v>
      </c>
      <c r="M218" s="711"/>
      <c r="N218" s="67">
        <f>VLOOKUP(D218,A!A$1:H$767,6,FALSE)</f>
        <v>0</v>
      </c>
      <c r="O218" s="93">
        <v>1</v>
      </c>
      <c r="P218" s="10">
        <f>VLOOKUP(D218,A!A$1:G$767,2,FALSE)</f>
        <v>0</v>
      </c>
      <c r="Q218" s="10" t="s">
        <v>57</v>
      </c>
      <c r="R218" s="10">
        <f t="shared" si="21"/>
        <v>0</v>
      </c>
      <c r="S218" s="10">
        <f>VLOOKUP(D218,A!A$1:AK$767,31,FALSE)</f>
        <v>35</v>
      </c>
      <c r="T218" s="10">
        <v>0.2</v>
      </c>
      <c r="U218" s="10">
        <f t="shared" si="22"/>
        <v>0</v>
      </c>
      <c r="X218" s="10"/>
    </row>
    <row r="219" spans="1:24" ht="11.25" hidden="1" customHeight="1" x14ac:dyDescent="0.25">
      <c r="A219" s="1" t="str">
        <f>IF(R219=0,"",COUNTIF(A$23:A218,"&gt;0")+1)</f>
        <v/>
      </c>
      <c r="B219" s="87"/>
      <c r="C219" s="63" t="s">
        <v>51</v>
      </c>
      <c r="D219" s="88" t="s">
        <v>417</v>
      </c>
      <c r="E219" s="65"/>
      <c r="F219" s="65"/>
      <c r="G219" s="89" t="s">
        <v>418</v>
      </c>
      <c r="H219" s="90" t="s">
        <v>419</v>
      </c>
      <c r="I219" s="67">
        <f>VLOOKUP(D219,A!A$1:H$767,8,FALSE)</f>
        <v>2</v>
      </c>
      <c r="J219" s="67" t="s">
        <v>63</v>
      </c>
      <c r="K219" s="68">
        <f>IF(VLOOKUP(D219,A!A$1:H$767,4,FALSE)="y",1,0)</f>
        <v>0</v>
      </c>
      <c r="L219" s="68">
        <f>IF(VLOOKUP(D219,A!A$1:H$767,5,FALSE)="y",1,0)</f>
        <v>0</v>
      </c>
      <c r="M219" s="711"/>
      <c r="N219" s="67">
        <f>VLOOKUP(D219,A!A$1:H$767,6,FALSE)</f>
        <v>0</v>
      </c>
      <c r="O219" s="93">
        <v>1</v>
      </c>
      <c r="P219" s="10">
        <f>VLOOKUP(D219,A!A$1:G$767,2,FALSE)</f>
        <v>0</v>
      </c>
      <c r="Q219" s="10" t="s">
        <v>57</v>
      </c>
      <c r="R219" s="10">
        <f t="shared" si="21"/>
        <v>0</v>
      </c>
      <c r="S219" s="10">
        <v>35</v>
      </c>
      <c r="T219" s="10">
        <v>0.2</v>
      </c>
      <c r="U219" s="10">
        <f t="shared" si="22"/>
        <v>0</v>
      </c>
      <c r="X219" s="10"/>
    </row>
    <row r="220" spans="1:24" ht="11.25" customHeight="1" x14ac:dyDescent="0.25">
      <c r="A220" s="1" t="str">
        <f>IF(R220=0,"",COUNTIF(A$23:A219,"&gt;0")+1)</f>
        <v/>
      </c>
      <c r="B220" s="87"/>
      <c r="C220" s="63" t="s">
        <v>51</v>
      </c>
      <c r="D220" s="88" t="s">
        <v>420</v>
      </c>
      <c r="E220" s="65"/>
      <c r="F220" s="65"/>
      <c r="G220" s="89" t="s">
        <v>421</v>
      </c>
      <c r="H220" s="90" t="s">
        <v>422</v>
      </c>
      <c r="I220" s="67">
        <f>VLOOKUP(D220,A!A$1:H$767,8,FALSE)</f>
        <v>1</v>
      </c>
      <c r="J220" s="67"/>
      <c r="K220" s="68">
        <f>IF(VLOOKUP(D220,A!A$1:H$767,4,FALSE)="y",1,0)</f>
        <v>1</v>
      </c>
      <c r="L220" s="68">
        <f>IF(VLOOKUP(D220,A!A$1:H$767,5,FALSE)="y",1,0)</f>
        <v>0</v>
      </c>
      <c r="M220" s="711"/>
      <c r="N220" s="67">
        <f>VLOOKUP(D220,A!A$1:H$767,6,FALSE)</f>
        <v>0</v>
      </c>
      <c r="O220" s="93">
        <v>1</v>
      </c>
      <c r="P220" s="10" t="str">
        <f>VLOOKUP(D220,A!A$1:G$767,2,FALSE)</f>
        <v>y</v>
      </c>
      <c r="Q220" s="10" t="s">
        <v>57</v>
      </c>
      <c r="R220" s="10">
        <f t="shared" si="21"/>
        <v>0</v>
      </c>
      <c r="S220" s="10">
        <f>VLOOKUP(D220,A!A$1:AK$767,31,FALSE)</f>
        <v>35</v>
      </c>
      <c r="T220" s="10">
        <v>0.2</v>
      </c>
      <c r="U220" s="10">
        <f t="shared" si="22"/>
        <v>0</v>
      </c>
      <c r="X220" s="10"/>
    </row>
    <row r="221" spans="1:24" ht="11.25" hidden="1" customHeight="1" x14ac:dyDescent="0.25">
      <c r="A221" s="1" t="str">
        <f>IF(R221=0,"",COUNTIF(A$23:A220,"&gt;0")+1)</f>
        <v/>
      </c>
      <c r="B221" s="87"/>
      <c r="C221" s="63" t="s">
        <v>51</v>
      </c>
      <c r="D221" s="88" t="s">
        <v>423</v>
      </c>
      <c r="E221" s="65"/>
      <c r="F221" s="65"/>
      <c r="G221" s="89" t="s">
        <v>424</v>
      </c>
      <c r="H221" s="90" t="s">
        <v>425</v>
      </c>
      <c r="I221" s="67">
        <f>VLOOKUP(D221,A!A$1:H$767,8,FALSE)</f>
        <v>2</v>
      </c>
      <c r="J221" s="67"/>
      <c r="K221" s="68">
        <f>IF(VLOOKUP(D221,A!A$1:H$767,4,FALSE)="y",1,0)</f>
        <v>0</v>
      </c>
      <c r="L221" s="68">
        <f>IF(VLOOKUP(D221,A!A$1:H$767,5,FALSE)="y",1,0)</f>
        <v>0</v>
      </c>
      <c r="M221" s="711"/>
      <c r="N221" s="67">
        <f>VLOOKUP(D221,A!A$1:H$767,6,FALSE)</f>
        <v>0</v>
      </c>
      <c r="O221" s="93">
        <v>1</v>
      </c>
      <c r="P221" s="10">
        <f>VLOOKUP(D221,A!A$1:G$767,2,FALSE)</f>
        <v>0</v>
      </c>
      <c r="Q221" s="10" t="s">
        <v>57</v>
      </c>
      <c r="R221" s="10">
        <f t="shared" si="21"/>
        <v>0</v>
      </c>
      <c r="S221" s="10" t="str">
        <f>VLOOKUP(D221,A!A$1:AK$767,31,FALSE)</f>
        <v/>
      </c>
      <c r="T221" s="10">
        <v>0.2</v>
      </c>
      <c r="U221" s="10">
        <f t="shared" si="22"/>
        <v>0</v>
      </c>
      <c r="X221" s="10"/>
    </row>
    <row r="222" spans="1:24" ht="11.25" hidden="1" customHeight="1" x14ac:dyDescent="0.25">
      <c r="A222" s="1" t="str">
        <f>IF(R222=0,"",COUNTIF(A$23:A221,"&gt;0")+1)</f>
        <v/>
      </c>
      <c r="B222" s="87"/>
      <c r="C222" s="63" t="s">
        <v>51</v>
      </c>
      <c r="D222" s="88" t="s">
        <v>426</v>
      </c>
      <c r="E222" s="65"/>
      <c r="F222" s="65"/>
      <c r="G222" s="89" t="s">
        <v>427</v>
      </c>
      <c r="H222" s="90" t="s">
        <v>428</v>
      </c>
      <c r="I222" s="67">
        <f>VLOOKUP(D222,A!A$1:H$767,8,FALSE)</f>
        <v>1</v>
      </c>
      <c r="J222" s="67"/>
      <c r="K222" s="68">
        <f>IF(VLOOKUP(D222,A!A$1:H$767,4,FALSE)="y",1,0)</f>
        <v>0</v>
      </c>
      <c r="L222" s="68">
        <f>IF(VLOOKUP(D222,A!A$1:H$767,5,FALSE)="y",1,0)</f>
        <v>0</v>
      </c>
      <c r="M222" s="711"/>
      <c r="N222" s="67">
        <f>VLOOKUP(D222,A!A$1:H$767,6,FALSE)</f>
        <v>0</v>
      </c>
      <c r="O222" s="93">
        <v>2</v>
      </c>
      <c r="P222" s="10">
        <f>VLOOKUP(D222,A!A$1:G$767,2,FALSE)</f>
        <v>0</v>
      </c>
      <c r="Q222" s="10" t="s">
        <v>57</v>
      </c>
      <c r="R222" s="10">
        <f t="shared" si="21"/>
        <v>0</v>
      </c>
      <c r="S222" s="10">
        <f>VLOOKUP(D222,A!A$1:AK$767,31,FALSE)</f>
        <v>35</v>
      </c>
      <c r="T222" s="10">
        <v>0.2</v>
      </c>
      <c r="U222" s="10">
        <f t="shared" si="22"/>
        <v>0</v>
      </c>
      <c r="X222" s="10"/>
    </row>
    <row r="223" spans="1:24" ht="10.9" hidden="1" customHeight="1" x14ac:dyDescent="0.25">
      <c r="A223" s="1" t="str">
        <f>IF(R223=0,"",COUNTIF(A$23:A222,"&gt;0")+1)</f>
        <v/>
      </c>
      <c r="B223" s="87"/>
      <c r="C223" s="63" t="s">
        <v>51</v>
      </c>
      <c r="D223" s="88" t="s">
        <v>429</v>
      </c>
      <c r="E223" s="65"/>
      <c r="F223" s="65"/>
      <c r="G223" s="89" t="s">
        <v>430</v>
      </c>
      <c r="H223" s="90" t="s">
        <v>431</v>
      </c>
      <c r="I223" s="67">
        <f>VLOOKUP(D223,A!A$1:H$767,8,FALSE)</f>
        <v>1</v>
      </c>
      <c r="J223" s="67" t="s">
        <v>63</v>
      </c>
      <c r="K223" s="68">
        <f>IF(VLOOKUP(D223,A!A$1:H$767,4,FALSE)="y",1,0)</f>
        <v>0</v>
      </c>
      <c r="L223" s="68">
        <f>IF(VLOOKUP(D223,A!A$1:H$767,5,FALSE)="y",1,0)</f>
        <v>0</v>
      </c>
      <c r="M223" s="711"/>
      <c r="N223" s="67">
        <f>VLOOKUP(D223,A!A$1:H$767,6,FALSE)</f>
        <v>0</v>
      </c>
      <c r="O223" s="93">
        <v>2</v>
      </c>
      <c r="P223" s="10">
        <f>VLOOKUP(D223,A!A$1:G$767,2,FALSE)</f>
        <v>0</v>
      </c>
      <c r="Q223" s="10" t="s">
        <v>57</v>
      </c>
      <c r="R223" s="10">
        <f t="shared" si="21"/>
        <v>0</v>
      </c>
      <c r="S223" s="10">
        <f>VLOOKUP(D223,A!A$1:AK$767,31,FALSE)</f>
        <v>35</v>
      </c>
      <c r="T223" s="10">
        <v>0.2</v>
      </c>
      <c r="U223" s="10">
        <f t="shared" si="22"/>
        <v>0</v>
      </c>
      <c r="X223" s="10"/>
    </row>
    <row r="224" spans="1:24" ht="11.25" hidden="1" customHeight="1" x14ac:dyDescent="0.25">
      <c r="A224" s="1" t="str">
        <f>IF(R224=0,"",COUNTIF(A$23:A223,"&gt;0")+1)</f>
        <v/>
      </c>
      <c r="B224" s="87"/>
      <c r="C224" s="63" t="s">
        <v>51</v>
      </c>
      <c r="D224" s="88" t="s">
        <v>432</v>
      </c>
      <c r="E224" s="65"/>
      <c r="F224" s="65"/>
      <c r="G224" s="89" t="s">
        <v>433</v>
      </c>
      <c r="H224" s="90" t="s">
        <v>434</v>
      </c>
      <c r="I224" s="67">
        <f>VLOOKUP(D224,A!A$1:H$767,8,FALSE)</f>
        <v>3</v>
      </c>
      <c r="J224" s="67"/>
      <c r="K224" s="68">
        <f>IF(VLOOKUP(D224,A!A$1:H$767,4,FALSE)="y",1,0)</f>
        <v>0</v>
      </c>
      <c r="L224" s="68">
        <f>IF(VLOOKUP(D224,A!A$1:H$767,5,FALSE)="y",1,0)</f>
        <v>0</v>
      </c>
      <c r="M224" s="711"/>
      <c r="N224" s="67">
        <f>VLOOKUP(D224,A!A$1:H$767,6,FALSE)</f>
        <v>0</v>
      </c>
      <c r="O224" s="93">
        <v>2</v>
      </c>
      <c r="P224" s="10">
        <f>VLOOKUP(D224,A!A$1:G$767,2,FALSE)</f>
        <v>0</v>
      </c>
      <c r="Q224" s="10" t="s">
        <v>57</v>
      </c>
      <c r="R224" s="10">
        <f t="shared" si="21"/>
        <v>0</v>
      </c>
      <c r="S224" s="10" t="str">
        <f>VLOOKUP(D224,A!A$1:AK$767,31,FALSE)</f>
        <v/>
      </c>
      <c r="T224" s="10">
        <v>0.2</v>
      </c>
      <c r="U224" s="10">
        <f t="shared" si="22"/>
        <v>0</v>
      </c>
      <c r="X224" s="10"/>
    </row>
    <row r="225" spans="1:24" ht="11.25" hidden="1" customHeight="1" x14ac:dyDescent="0.25">
      <c r="A225" s="1" t="str">
        <f>IF(R225=0,"",COUNTIF(A$23:A224,"&gt;0")+1)</f>
        <v/>
      </c>
      <c r="B225" s="87"/>
      <c r="C225" s="63" t="s">
        <v>51</v>
      </c>
      <c r="D225" s="88" t="s">
        <v>435</v>
      </c>
      <c r="E225" s="65"/>
      <c r="F225" s="65"/>
      <c r="G225" s="89" t="s">
        <v>436</v>
      </c>
      <c r="H225" s="90" t="s">
        <v>437</v>
      </c>
      <c r="I225" s="67">
        <f>VLOOKUP(D225,A!A$1:H$767,8,FALSE)</f>
        <v>1</v>
      </c>
      <c r="J225" s="67"/>
      <c r="K225" s="68">
        <f>IF(VLOOKUP(D225,A!A$1:H$767,4,FALSE)="y",1,0)</f>
        <v>0</v>
      </c>
      <c r="L225" s="68">
        <f>IF(VLOOKUP(D225,A!A$1:H$767,5,FALSE)="y",1,0)</f>
        <v>0</v>
      </c>
      <c r="M225" s="711"/>
      <c r="N225" s="67">
        <f>VLOOKUP(D225,A!A$1:H$767,6,FALSE)</f>
        <v>0</v>
      </c>
      <c r="O225" s="93">
        <v>2</v>
      </c>
      <c r="P225" s="10">
        <f>VLOOKUP(D225,A!A$1:G$767,2,FALSE)</f>
        <v>0</v>
      </c>
      <c r="Q225" s="10" t="s">
        <v>57</v>
      </c>
      <c r="R225" s="10">
        <f t="shared" si="21"/>
        <v>0</v>
      </c>
      <c r="S225" s="10">
        <f>VLOOKUP(D225,A!A$1:AK$767,31,FALSE)</f>
        <v>55</v>
      </c>
      <c r="T225" s="10">
        <v>0.2</v>
      </c>
      <c r="U225" s="10">
        <f t="shared" si="22"/>
        <v>0</v>
      </c>
      <c r="X225" s="10"/>
    </row>
    <row r="226" spans="1:24" ht="11.25" hidden="1" customHeight="1" x14ac:dyDescent="0.25">
      <c r="A226" s="1" t="str">
        <f>IF(R226=0,"",COUNTIF(A$23:A225,"&gt;0")+1)</f>
        <v/>
      </c>
      <c r="B226" s="87"/>
      <c r="C226" s="63" t="s">
        <v>51</v>
      </c>
      <c r="D226" s="88" t="s">
        <v>438</v>
      </c>
      <c r="E226" s="65"/>
      <c r="F226" s="65"/>
      <c r="G226" s="89" t="s">
        <v>436</v>
      </c>
      <c r="H226" s="90" t="s">
        <v>439</v>
      </c>
      <c r="I226" s="67">
        <f>VLOOKUP(D226,A!A$1:H$767,8,FALSE)</f>
        <v>1</v>
      </c>
      <c r="J226" s="67" t="s">
        <v>63</v>
      </c>
      <c r="K226" s="68">
        <f>IF(VLOOKUP(D226,A!A$1:H$767,4,FALSE)="y",1,0)</f>
        <v>0</v>
      </c>
      <c r="L226" s="68">
        <f>IF(VLOOKUP(D226,A!A$1:H$767,5,FALSE)="y",1,0)</f>
        <v>0</v>
      </c>
      <c r="M226" s="711"/>
      <c r="N226" s="67">
        <f>VLOOKUP(D226,A!A$1:H$767,6,FALSE)</f>
        <v>0</v>
      </c>
      <c r="O226" s="93">
        <v>2</v>
      </c>
      <c r="P226" s="10">
        <f>VLOOKUP(D226,A!A$1:G$767,2,FALSE)</f>
        <v>0</v>
      </c>
      <c r="Q226" s="10" t="s">
        <v>57</v>
      </c>
      <c r="R226" s="10">
        <f t="shared" si="21"/>
        <v>0</v>
      </c>
      <c r="S226" s="10" t="str">
        <f>VLOOKUP(D226,A!A$1:AK$767,31,FALSE)</f>
        <v/>
      </c>
      <c r="T226" s="10">
        <v>0.2</v>
      </c>
      <c r="U226" s="10">
        <f t="shared" si="22"/>
        <v>0</v>
      </c>
      <c r="X226" s="10"/>
    </row>
    <row r="227" spans="1:24" ht="11.25" hidden="1" customHeight="1" x14ac:dyDescent="0.25">
      <c r="A227" s="1" t="str">
        <f>IF(R227=0,"",COUNTIF(A$23:A226,"&gt;0")+1)</f>
        <v/>
      </c>
      <c r="B227" s="87"/>
      <c r="C227" s="63" t="s">
        <v>51</v>
      </c>
      <c r="D227" s="88" t="s">
        <v>440</v>
      </c>
      <c r="E227" s="65"/>
      <c r="F227" s="65"/>
      <c r="G227" s="89" t="s">
        <v>441</v>
      </c>
      <c r="H227" s="90" t="s">
        <v>442</v>
      </c>
      <c r="I227" s="67">
        <f>VLOOKUP(D227,A!A$1:H$767,8,FALSE)</f>
        <v>2</v>
      </c>
      <c r="J227" s="67"/>
      <c r="K227" s="68">
        <f>IF(VLOOKUP(D227,A!A$1:H$767,4,FALSE)="y",1,0)</f>
        <v>0</v>
      </c>
      <c r="L227" s="68">
        <f>IF(VLOOKUP(D227,A!A$1:H$767,5,FALSE)="y",1,0)</f>
        <v>0</v>
      </c>
      <c r="M227" s="711"/>
      <c r="N227" s="67">
        <f>VLOOKUP(D227,A!A$1:H$767,6,FALSE)</f>
        <v>0</v>
      </c>
      <c r="O227" s="93" t="s">
        <v>73</v>
      </c>
      <c r="P227" s="10">
        <f>VLOOKUP(D227,A!A$1:G$767,2,FALSE)</f>
        <v>0</v>
      </c>
      <c r="Q227" s="10" t="s">
        <v>57</v>
      </c>
      <c r="R227" s="10">
        <f t="shared" si="21"/>
        <v>0</v>
      </c>
      <c r="S227" s="10">
        <f>VLOOKUP(D227,A!A$1:AK$767,31,FALSE)</f>
        <v>35</v>
      </c>
      <c r="T227" s="10">
        <v>0.2</v>
      </c>
      <c r="U227" s="10">
        <f t="shared" si="22"/>
        <v>0</v>
      </c>
      <c r="X227" s="10"/>
    </row>
    <row r="228" spans="1:24" ht="11.25" hidden="1" customHeight="1" x14ac:dyDescent="0.25">
      <c r="A228" s="1" t="str">
        <f>IF(R228=0,"",COUNTIF(A$23:A227,"&gt;0")+1)</f>
        <v/>
      </c>
      <c r="B228" s="87"/>
      <c r="C228" s="63" t="s">
        <v>51</v>
      </c>
      <c r="D228" s="88" t="s">
        <v>443</v>
      </c>
      <c r="E228" s="65"/>
      <c r="F228" s="65"/>
      <c r="G228" s="89" t="s">
        <v>444</v>
      </c>
      <c r="H228" s="90" t="s">
        <v>445</v>
      </c>
      <c r="I228" s="67">
        <f>VLOOKUP(D228,A!A$1:H$767,8,FALSE)</f>
        <v>2</v>
      </c>
      <c r="J228" s="67"/>
      <c r="K228" s="68">
        <f>IF(VLOOKUP(D228,A!A$1:H$767,4,FALSE)="y",1,0)</f>
        <v>0</v>
      </c>
      <c r="L228" s="68">
        <f>IF(VLOOKUP(D228,A!A$1:H$767,5,FALSE)="y",1,0)</f>
        <v>0</v>
      </c>
      <c r="M228" s="711"/>
      <c r="N228" s="67">
        <f>VLOOKUP(D228,A!A$1:H$767,6,FALSE)</f>
        <v>0</v>
      </c>
      <c r="O228" s="93">
        <v>1</v>
      </c>
      <c r="P228" s="10">
        <f>VLOOKUP(D228,A!A$1:G$767,2,FALSE)</f>
        <v>0</v>
      </c>
      <c r="Q228" s="10" t="s">
        <v>57</v>
      </c>
      <c r="R228" s="10">
        <f t="shared" si="21"/>
        <v>0</v>
      </c>
      <c r="S228" s="10">
        <f>VLOOKUP(D228,A!A$1:AK$767,31,FALSE)</f>
        <v>35</v>
      </c>
      <c r="T228" s="10">
        <v>0.2</v>
      </c>
      <c r="U228" s="10">
        <f t="shared" si="22"/>
        <v>0</v>
      </c>
      <c r="X228" s="10"/>
    </row>
    <row r="229" spans="1:24" ht="11.25" hidden="1" customHeight="1" x14ac:dyDescent="0.25">
      <c r="A229" s="1" t="str">
        <f>IF(R229=0,"",COUNTIF(A$23:A228,"&gt;0")+1)</f>
        <v/>
      </c>
      <c r="B229" s="87"/>
      <c r="C229" s="63" t="s">
        <v>51</v>
      </c>
      <c r="D229" s="88" t="s">
        <v>446</v>
      </c>
      <c r="E229" s="65"/>
      <c r="F229" s="65"/>
      <c r="G229" s="96" t="s">
        <v>447</v>
      </c>
      <c r="H229" s="66" t="s">
        <v>448</v>
      </c>
      <c r="I229" s="67">
        <f>VLOOKUP(D229,A!A$1:H$767,8,FALSE)</f>
        <v>2</v>
      </c>
      <c r="J229" s="67"/>
      <c r="K229" s="68">
        <f>IF(VLOOKUP(D229,A!A$1:H$767,4,FALSE)="y",1,0)</f>
        <v>0</v>
      </c>
      <c r="L229" s="68">
        <f>IF(VLOOKUP(D229,A!A$1:H$767,5,FALSE)="y",1,0)</f>
        <v>0</v>
      </c>
      <c r="M229" s="711"/>
      <c r="N229" s="67">
        <f>VLOOKUP(D229,A!A$1:H$767,6,FALSE)</f>
        <v>0</v>
      </c>
      <c r="O229" s="93">
        <v>2</v>
      </c>
      <c r="P229" s="10">
        <f>VLOOKUP(D229,A!A$1:G$767,2,FALSE)</f>
        <v>0</v>
      </c>
      <c r="Q229" s="10" t="s">
        <v>57</v>
      </c>
      <c r="R229" s="10">
        <f t="shared" si="21"/>
        <v>0</v>
      </c>
      <c r="S229" s="10">
        <f>VLOOKUP(D229,A!A$1:AK$767,31,FALSE)</f>
        <v>35</v>
      </c>
      <c r="T229" s="10">
        <v>0.2</v>
      </c>
      <c r="U229" s="10">
        <f t="shared" si="22"/>
        <v>0</v>
      </c>
      <c r="X229" s="10"/>
    </row>
    <row r="230" spans="1:24" ht="11.25" hidden="1" customHeight="1" x14ac:dyDescent="0.25">
      <c r="A230" s="1" t="str">
        <f>IF(R230=0,"",COUNTIF(A$23:A229,"&gt;0")+1)</f>
        <v/>
      </c>
      <c r="B230" s="87"/>
      <c r="C230" s="63" t="s">
        <v>51</v>
      </c>
      <c r="D230" s="88" t="s">
        <v>449</v>
      </c>
      <c r="E230" s="65"/>
      <c r="F230" s="65"/>
      <c r="G230" s="89" t="s">
        <v>450</v>
      </c>
      <c r="H230" s="90" t="s">
        <v>451</v>
      </c>
      <c r="I230" s="67">
        <f>VLOOKUP(D230,A!A$1:H$767,8,FALSE)</f>
        <v>2</v>
      </c>
      <c r="J230" s="67"/>
      <c r="K230" s="68">
        <f>IF(VLOOKUP(D230,A!A$1:H$767,4,FALSE)="y",1,0)</f>
        <v>0</v>
      </c>
      <c r="L230" s="68">
        <f>IF(VLOOKUP(D230,A!A$1:H$767,5,FALSE)="y",1,0)</f>
        <v>0</v>
      </c>
      <c r="M230" s="711"/>
      <c r="N230" s="67">
        <f>VLOOKUP(D230,A!A$1:H$767,6,FALSE)</f>
        <v>0</v>
      </c>
      <c r="O230" s="93">
        <v>1</v>
      </c>
      <c r="P230" s="10">
        <f>VLOOKUP(D230,A!A$1:G$767,2,FALSE)</f>
        <v>0</v>
      </c>
      <c r="Q230" s="10" t="s">
        <v>57</v>
      </c>
      <c r="R230" s="10">
        <f t="shared" si="21"/>
        <v>0</v>
      </c>
      <c r="S230" s="10">
        <f>VLOOKUP(D230,A!A$1:AK$767,31,FALSE)</f>
        <v>35</v>
      </c>
      <c r="T230" s="10">
        <v>0.2</v>
      </c>
      <c r="U230" s="10">
        <f t="shared" si="22"/>
        <v>0</v>
      </c>
      <c r="X230" s="10"/>
    </row>
    <row r="231" spans="1:24" ht="11.25" hidden="1" customHeight="1" x14ac:dyDescent="0.25">
      <c r="A231" s="1" t="str">
        <f>IF(R231=0,"",COUNTIF(A$23:A230,"&gt;0")+1)</f>
        <v/>
      </c>
      <c r="B231" s="87"/>
      <c r="C231" s="63" t="s">
        <v>51</v>
      </c>
      <c r="D231" s="88" t="s">
        <v>452</v>
      </c>
      <c r="E231" s="65"/>
      <c r="F231" s="65"/>
      <c r="G231" s="89" t="s">
        <v>453</v>
      </c>
      <c r="H231" s="90" t="s">
        <v>454</v>
      </c>
      <c r="I231" s="67">
        <f>VLOOKUP(D231,A!A$1:H$767,8,FALSE)</f>
        <v>2</v>
      </c>
      <c r="J231" s="67"/>
      <c r="K231" s="68">
        <f>IF(VLOOKUP(D231,A!A$1:H$767,4,FALSE)="y",1,0)</f>
        <v>0</v>
      </c>
      <c r="L231" s="68">
        <f>IF(VLOOKUP(D231,A!A$1:H$767,5,FALSE)="y",1,0)</f>
        <v>0</v>
      </c>
      <c r="M231" s="711"/>
      <c r="N231" s="67">
        <f>VLOOKUP(D231,A!A$1:H$767,6,FALSE)</f>
        <v>0</v>
      </c>
      <c r="O231" s="93">
        <v>1</v>
      </c>
      <c r="P231" s="10">
        <f>VLOOKUP(D231,A!A$1:G$767,2,FALSE)</f>
        <v>0</v>
      </c>
      <c r="Q231" s="10" t="s">
        <v>57</v>
      </c>
      <c r="R231" s="10">
        <f t="shared" si="21"/>
        <v>0</v>
      </c>
      <c r="S231" s="10">
        <f>VLOOKUP(D231,A!A$1:AK$767,31,FALSE)</f>
        <v>35</v>
      </c>
      <c r="T231" s="10">
        <v>0.2</v>
      </c>
      <c r="U231" s="10">
        <f t="shared" si="22"/>
        <v>0</v>
      </c>
      <c r="X231" s="10"/>
    </row>
    <row r="232" spans="1:24" ht="11.25" hidden="1" customHeight="1" x14ac:dyDescent="0.25">
      <c r="A232" s="1" t="str">
        <f>IF(R232=0,"",COUNTIF(A$23:A231,"&gt;0")+1)</f>
        <v/>
      </c>
      <c r="B232" s="87"/>
      <c r="C232" s="63" t="s">
        <v>51</v>
      </c>
      <c r="D232" s="88" t="s">
        <v>455</v>
      </c>
      <c r="E232" s="65"/>
      <c r="F232" s="65"/>
      <c r="G232" s="89" t="s">
        <v>456</v>
      </c>
      <c r="H232" s="90" t="s">
        <v>457</v>
      </c>
      <c r="I232" s="67">
        <f>VLOOKUP(D232,A!A$1:H$767,8,FALSE)</f>
        <v>2</v>
      </c>
      <c r="J232" s="67"/>
      <c r="K232" s="68">
        <f>IF(VLOOKUP(D232,A!A$1:H$767,4,FALSE)="y",1,0)</f>
        <v>0</v>
      </c>
      <c r="L232" s="68">
        <f>IF(VLOOKUP(D232,A!A$1:H$767,5,FALSE)="y",1,0)</f>
        <v>0</v>
      </c>
      <c r="M232" s="711"/>
      <c r="N232" s="67">
        <f>VLOOKUP(D232,A!A$1:H$767,6,FALSE)</f>
        <v>0</v>
      </c>
      <c r="O232" s="93" t="s">
        <v>65</v>
      </c>
      <c r="P232" s="10">
        <f>VLOOKUP(D232,A!A$1:G$767,2,FALSE)</f>
        <v>0</v>
      </c>
      <c r="Q232" s="10" t="s">
        <v>57</v>
      </c>
      <c r="R232" s="10">
        <f t="shared" si="21"/>
        <v>0</v>
      </c>
      <c r="S232" s="10" t="str">
        <f>VLOOKUP(D232,A!A$1:AK$767,31,FALSE)</f>
        <v/>
      </c>
      <c r="T232" s="10">
        <v>0.2</v>
      </c>
      <c r="U232" s="10">
        <f t="shared" si="22"/>
        <v>0</v>
      </c>
      <c r="X232" s="10"/>
    </row>
    <row r="233" spans="1:24" ht="10.9" customHeight="1" x14ac:dyDescent="0.25">
      <c r="A233" s="1" t="str">
        <f>IF(R233=0,"",COUNTIF(A$23:A232,"&gt;0")+1)</f>
        <v/>
      </c>
      <c r="B233" s="87"/>
      <c r="C233" s="63" t="s">
        <v>51</v>
      </c>
      <c r="D233" s="88" t="s">
        <v>458</v>
      </c>
      <c r="E233" s="65"/>
      <c r="F233" s="65"/>
      <c r="G233" s="89" t="s">
        <v>459</v>
      </c>
      <c r="H233" s="90" t="s">
        <v>460</v>
      </c>
      <c r="I233" s="67">
        <f>VLOOKUP(D233,A!A$1:H$767,8,FALSE)</f>
        <v>3</v>
      </c>
      <c r="J233" s="67" t="s">
        <v>63</v>
      </c>
      <c r="K233" s="68">
        <f>IF(VLOOKUP(D233,A!A$1:H$767,4,FALSE)="y",1,0)</f>
        <v>1</v>
      </c>
      <c r="L233" s="68">
        <f>IF(VLOOKUP(D233,A!A$1:H$767,5,FALSE)="y",1,0)</f>
        <v>0</v>
      </c>
      <c r="M233" s="711"/>
      <c r="N233" s="67">
        <f>VLOOKUP(D233,A!A$1:H$767,6,FALSE)</f>
        <v>0</v>
      </c>
      <c r="O233" s="93" t="s">
        <v>65</v>
      </c>
      <c r="P233" s="10" t="str">
        <f>VLOOKUP(D233,A!A$1:G$767,2,FALSE)</f>
        <v>y</v>
      </c>
      <c r="Q233" s="10" t="s">
        <v>57</v>
      </c>
      <c r="R233" s="10">
        <f t="shared" si="21"/>
        <v>0</v>
      </c>
      <c r="S233" s="10">
        <f>VLOOKUP(D233,A!A$1:AK$767,31,FALSE)</f>
        <v>55</v>
      </c>
      <c r="T233" s="10">
        <v>0.2</v>
      </c>
      <c r="U233" s="10">
        <f t="shared" si="22"/>
        <v>0</v>
      </c>
      <c r="X233" s="10"/>
    </row>
    <row r="234" spans="1:24" ht="11.25" hidden="1" customHeight="1" x14ac:dyDescent="0.25">
      <c r="A234" s="1" t="str">
        <f>IF(R234=0,"",COUNTIF(A$23:A233,"&gt;0")+1)</f>
        <v/>
      </c>
      <c r="B234" s="87"/>
      <c r="C234" s="63" t="s">
        <v>51</v>
      </c>
      <c r="D234" s="88" t="s">
        <v>461</v>
      </c>
      <c r="E234" s="65"/>
      <c r="F234" s="65"/>
      <c r="G234" s="89" t="s">
        <v>462</v>
      </c>
      <c r="H234" s="90" t="s">
        <v>463</v>
      </c>
      <c r="I234" s="67">
        <f>VLOOKUP(D234,A!A$1:H$767,8,FALSE)</f>
        <v>1</v>
      </c>
      <c r="J234" s="67"/>
      <c r="K234" s="68">
        <f>IF(VLOOKUP(D234,A!A$1:H$767,4,FALSE)="y",1,0)</f>
        <v>0</v>
      </c>
      <c r="L234" s="68">
        <f>IF(VLOOKUP(D234,A!A$1:H$767,5,FALSE)="y",1,0)</f>
        <v>0</v>
      </c>
      <c r="M234" s="711"/>
      <c r="N234" s="67">
        <f>VLOOKUP(D234,A!A$1:H$767,6,FALSE)</f>
        <v>0</v>
      </c>
      <c r="O234" s="93" t="s">
        <v>65</v>
      </c>
      <c r="P234" s="10">
        <f>VLOOKUP(D234,A!A$1:G$767,2,FALSE)</f>
        <v>0</v>
      </c>
      <c r="Q234" s="10" t="s">
        <v>57</v>
      </c>
      <c r="R234" s="10">
        <f t="shared" si="21"/>
        <v>0</v>
      </c>
      <c r="S234" s="10">
        <f>VLOOKUP(D234,A!A$1:AK$767,31,FALSE)</f>
        <v>55</v>
      </c>
      <c r="T234" s="10">
        <v>0.2</v>
      </c>
      <c r="U234" s="10">
        <f t="shared" si="22"/>
        <v>0</v>
      </c>
      <c r="X234" s="10"/>
    </row>
    <row r="235" spans="1:24" ht="11.25" hidden="1" customHeight="1" x14ac:dyDescent="0.25">
      <c r="A235" s="1" t="str">
        <f>IF(R235=0,"",COUNTIF(A$23:A234,"&gt;0")+1)</f>
        <v/>
      </c>
      <c r="B235" s="87"/>
      <c r="C235" s="63" t="s">
        <v>51</v>
      </c>
      <c r="D235" s="88" t="s">
        <v>464</v>
      </c>
      <c r="E235" s="65"/>
      <c r="F235" s="65"/>
      <c r="G235" s="89" t="s">
        <v>465</v>
      </c>
      <c r="H235" s="90" t="s">
        <v>466</v>
      </c>
      <c r="I235" s="67">
        <f>VLOOKUP(D235,A!A$1:H$767,8,FALSE)</f>
        <v>2</v>
      </c>
      <c r="J235" s="67"/>
      <c r="K235" s="68">
        <f>IF(VLOOKUP(D235,A!A$1:H$767,4,FALSE)="y",1,0)</f>
        <v>0</v>
      </c>
      <c r="L235" s="68">
        <f>IF(VLOOKUP(D235,A!A$1:H$767,5,FALSE)="y",1,0)</f>
        <v>0</v>
      </c>
      <c r="M235" s="711"/>
      <c r="N235" s="67">
        <f>VLOOKUP(D235,A!A$1:H$767,6,FALSE)</f>
        <v>0</v>
      </c>
      <c r="O235" s="93" t="s">
        <v>73</v>
      </c>
      <c r="P235" s="10">
        <f>VLOOKUP(D235,A!A$1:G$767,2,FALSE)</f>
        <v>0</v>
      </c>
      <c r="Q235" s="10" t="s">
        <v>57</v>
      </c>
      <c r="R235" s="10">
        <f t="shared" si="21"/>
        <v>0</v>
      </c>
      <c r="S235" s="10" t="str">
        <f>VLOOKUP(D235,A!A$1:AK$767,31,FALSE)</f>
        <v/>
      </c>
      <c r="T235" s="10">
        <v>0.2</v>
      </c>
      <c r="U235" s="10">
        <f t="shared" si="22"/>
        <v>0</v>
      </c>
      <c r="X235" s="10"/>
    </row>
    <row r="236" spans="1:24" ht="11.25" hidden="1" customHeight="1" x14ac:dyDescent="0.25">
      <c r="A236" s="1" t="str">
        <f>IF(R236=0,"",COUNTIF(A$23:A235,"&gt;0")+1)</f>
        <v/>
      </c>
      <c r="B236" s="87"/>
      <c r="C236" s="63" t="s">
        <v>51</v>
      </c>
      <c r="D236" s="527" t="s">
        <v>1474</v>
      </c>
      <c r="E236" s="65"/>
      <c r="F236" s="65"/>
      <c r="G236" s="89" t="s">
        <v>1407</v>
      </c>
      <c r="H236" s="90" t="s">
        <v>1431</v>
      </c>
      <c r="I236" s="67">
        <v>2</v>
      </c>
      <c r="J236" s="67"/>
      <c r="K236" s="68">
        <f>IF(VLOOKUP(D236,A!A$1:H$767,4,FALSE)="y",1,0)</f>
        <v>0</v>
      </c>
      <c r="L236" s="68"/>
      <c r="M236" s="711"/>
      <c r="N236" s="67"/>
      <c r="O236" s="93" t="s">
        <v>65</v>
      </c>
      <c r="P236" s="10">
        <f>VLOOKUP(D236,A!A$1:G$767,2,FALSE)</f>
        <v>0</v>
      </c>
      <c r="Q236" s="10" t="s">
        <v>57</v>
      </c>
      <c r="R236" s="10">
        <f>B236</f>
        <v>0</v>
      </c>
      <c r="S236" s="10">
        <f>VLOOKUP(D236,A!A$1:AK$767,31,FALSE)</f>
        <v>25</v>
      </c>
      <c r="T236" s="10">
        <v>0.2</v>
      </c>
      <c r="U236" s="10">
        <f>T236*B236</f>
        <v>0</v>
      </c>
      <c r="X236" s="10"/>
    </row>
    <row r="237" spans="1:24" ht="11.25" hidden="1" customHeight="1" x14ac:dyDescent="0.25">
      <c r="A237" s="1" t="str">
        <f>IF(R237=0,"",COUNTIF(A$23:A236,"&gt;0")+1)</f>
        <v/>
      </c>
      <c r="B237" s="87"/>
      <c r="C237" s="63" t="s">
        <v>51</v>
      </c>
      <c r="D237" s="88" t="s">
        <v>467</v>
      </c>
      <c r="E237" s="65"/>
      <c r="F237" s="65"/>
      <c r="G237" s="89" t="s">
        <v>468</v>
      </c>
      <c r="H237" s="90" t="s">
        <v>469</v>
      </c>
      <c r="I237" s="67">
        <f>VLOOKUP(D237,A!A$1:H$767,8,FALSE)</f>
        <v>2</v>
      </c>
      <c r="J237" s="67"/>
      <c r="K237" s="68">
        <f>IF(VLOOKUP(D237,A!A$1:H$767,4,FALSE)="y",1,0)</f>
        <v>0</v>
      </c>
      <c r="L237" s="68">
        <f>IF(VLOOKUP(D237,A!A$1:H$767,5,FALSE)="y",1,0)</f>
        <v>0</v>
      </c>
      <c r="M237" s="711"/>
      <c r="N237" s="67">
        <f>VLOOKUP(D237,A!A$1:H$767,6,FALSE)</f>
        <v>0</v>
      </c>
      <c r="O237" s="93">
        <v>1</v>
      </c>
      <c r="P237" s="10">
        <f>VLOOKUP(D237,A!A$1:G$767,2,FALSE)</f>
        <v>0</v>
      </c>
      <c r="Q237" s="10" t="s">
        <v>57</v>
      </c>
      <c r="R237" s="10">
        <f t="shared" si="21"/>
        <v>0</v>
      </c>
      <c r="S237" s="10">
        <f>VLOOKUP(D237,A!A$1:AK$767,31,FALSE)</f>
        <v>35</v>
      </c>
      <c r="T237" s="10">
        <v>0.2</v>
      </c>
      <c r="U237" s="10">
        <f t="shared" si="22"/>
        <v>0</v>
      </c>
      <c r="X237" s="10"/>
    </row>
    <row r="238" spans="1:24" ht="11.25" hidden="1" customHeight="1" x14ac:dyDescent="0.25">
      <c r="A238" s="1" t="str">
        <f>IF(R238=0,"",COUNTIF(A$23:A237,"&gt;0")+1)</f>
        <v/>
      </c>
      <c r="B238" s="87"/>
      <c r="C238" s="63" t="s">
        <v>51</v>
      </c>
      <c r="D238" s="88" t="s">
        <v>470</v>
      </c>
      <c r="E238" s="65"/>
      <c r="F238" s="65"/>
      <c r="G238" s="89" t="s">
        <v>471</v>
      </c>
      <c r="H238" s="90" t="s">
        <v>472</v>
      </c>
      <c r="I238" s="67">
        <f>VLOOKUP(D238,A!A$1:H$767,8,FALSE)</f>
        <v>3</v>
      </c>
      <c r="J238" s="67" t="s">
        <v>63</v>
      </c>
      <c r="K238" s="68">
        <f>IF(VLOOKUP(D238,A!A$1:H$767,4,FALSE)="y",1,0)</f>
        <v>0</v>
      </c>
      <c r="L238" s="68">
        <f>IF(VLOOKUP(D238,A!A$1:H$767,5,FALSE)="y",1,0)</f>
        <v>0</v>
      </c>
      <c r="M238" s="711"/>
      <c r="N238" s="67">
        <f>VLOOKUP(D238,A!A$1:H$767,6,FALSE)</f>
        <v>0</v>
      </c>
      <c r="O238" s="93" t="s">
        <v>65</v>
      </c>
      <c r="P238" s="10">
        <f>VLOOKUP(D238,A!A$1:G$767,2,FALSE)</f>
        <v>0</v>
      </c>
      <c r="Q238" s="10" t="s">
        <v>57</v>
      </c>
      <c r="R238" s="10">
        <f t="shared" si="21"/>
        <v>0</v>
      </c>
      <c r="S238" s="10">
        <f>VLOOKUP(D238,A!A$1:AK$767,31,FALSE)</f>
        <v>55</v>
      </c>
      <c r="T238" s="10">
        <v>0.2</v>
      </c>
      <c r="U238" s="10">
        <f t="shared" si="22"/>
        <v>0</v>
      </c>
      <c r="X238" s="10"/>
    </row>
    <row r="239" spans="1:24" ht="11.25" hidden="1" customHeight="1" x14ac:dyDescent="0.25">
      <c r="A239" s="1" t="str">
        <f>IF(R239=0,"",COUNTIF(A$23:A238,"&gt;0")+1)</f>
        <v/>
      </c>
      <c r="B239" s="87"/>
      <c r="C239" s="63" t="s">
        <v>51</v>
      </c>
      <c r="D239" s="88" t="s">
        <v>473</v>
      </c>
      <c r="E239" s="65"/>
      <c r="F239" s="65"/>
      <c r="G239" s="89" t="s">
        <v>474</v>
      </c>
      <c r="H239" s="90" t="s">
        <v>475</v>
      </c>
      <c r="I239" s="67">
        <f>VLOOKUP(D239,A!A$1:H$767,8,FALSE)</f>
        <v>2</v>
      </c>
      <c r="J239" s="67"/>
      <c r="K239" s="68">
        <f>IF(VLOOKUP(D239,A!A$1:H$767,4,FALSE)="y",1,0)</f>
        <v>0</v>
      </c>
      <c r="L239" s="68">
        <f>IF(VLOOKUP(D239,A!A$1:H$767,5,FALSE)="y",1,0)</f>
        <v>0</v>
      </c>
      <c r="M239" s="711"/>
      <c r="N239" s="67">
        <f>VLOOKUP(D239,A!A$1:H$767,6,FALSE)</f>
        <v>0</v>
      </c>
      <c r="O239" s="93" t="s">
        <v>65</v>
      </c>
      <c r="P239" s="10">
        <f>VLOOKUP(D239,A!A$1:G$767,2,FALSE)</f>
        <v>0</v>
      </c>
      <c r="Q239" s="10" t="s">
        <v>57</v>
      </c>
      <c r="R239" s="10">
        <f t="shared" si="21"/>
        <v>0</v>
      </c>
      <c r="S239" s="10" t="str">
        <f>VLOOKUP(D239,A!A$1:AK$767,31,FALSE)</f>
        <v/>
      </c>
      <c r="T239" s="10">
        <v>0.2</v>
      </c>
      <c r="U239" s="10">
        <f t="shared" si="22"/>
        <v>0</v>
      </c>
      <c r="X239" s="10"/>
    </row>
    <row r="240" spans="1:24" ht="11.25" hidden="1" customHeight="1" x14ac:dyDescent="0.25">
      <c r="A240" s="1" t="str">
        <f>IF(R240=0,"",COUNTIF(A$23:A239,"&gt;0")+1)</f>
        <v/>
      </c>
      <c r="B240" s="87"/>
      <c r="C240" s="63" t="s">
        <v>51</v>
      </c>
      <c r="D240" s="88" t="s">
        <v>476</v>
      </c>
      <c r="E240" s="65"/>
      <c r="F240" s="65"/>
      <c r="G240" s="89" t="s">
        <v>477</v>
      </c>
      <c r="H240" s="90" t="s">
        <v>478</v>
      </c>
      <c r="I240" s="67">
        <f>VLOOKUP(D240,A!A$1:H$767,8,FALSE)</f>
        <v>1</v>
      </c>
      <c r="J240" s="67"/>
      <c r="K240" s="68">
        <f>IF(VLOOKUP(D240,A!A$1:H$767,4,FALSE)="y",1,0)</f>
        <v>0</v>
      </c>
      <c r="L240" s="68">
        <f>IF(VLOOKUP(D240,A!A$1:H$767,5,FALSE)="y",1,0)</f>
        <v>0</v>
      </c>
      <c r="M240" s="711"/>
      <c r="N240" s="67">
        <f>VLOOKUP(D240,A!A$1:H$767,6,FALSE)</f>
        <v>0</v>
      </c>
      <c r="O240" s="93" t="s">
        <v>65</v>
      </c>
      <c r="P240" s="10">
        <f>VLOOKUP(D240,A!A$1:G$767,2,FALSE)</f>
        <v>0</v>
      </c>
      <c r="Q240" s="10" t="s">
        <v>57</v>
      </c>
      <c r="R240" s="10">
        <f t="shared" si="21"/>
        <v>0</v>
      </c>
      <c r="S240" s="10" t="str">
        <f>VLOOKUP(D240,A!A$1:AK$767,31,FALSE)</f>
        <v/>
      </c>
      <c r="T240" s="10">
        <v>0.2</v>
      </c>
      <c r="U240" s="10">
        <f t="shared" si="22"/>
        <v>0</v>
      </c>
      <c r="X240" s="10"/>
    </row>
    <row r="241" spans="1:24" ht="11.25" customHeight="1" x14ac:dyDescent="0.25">
      <c r="A241" s="1" t="str">
        <f>IF(R241=0,"",COUNTIF(A$23:A240,"&gt;0")+1)</f>
        <v/>
      </c>
      <c r="B241" s="87"/>
      <c r="C241" s="63" t="s">
        <v>51</v>
      </c>
      <c r="D241" s="88" t="s">
        <v>1475</v>
      </c>
      <c r="E241" s="65"/>
      <c r="F241" s="65"/>
      <c r="G241" s="89" t="s">
        <v>480</v>
      </c>
      <c r="H241" s="90" t="s">
        <v>481</v>
      </c>
      <c r="I241" s="67">
        <f>VLOOKUP(D241,A!A$1:H$767,8,FALSE)</f>
        <v>2</v>
      </c>
      <c r="J241" s="67"/>
      <c r="K241" s="68">
        <f>IF(VLOOKUP(D241,A!A$1:H$767,4,FALSE)="y",1,0)</f>
        <v>1</v>
      </c>
      <c r="L241" s="68">
        <f>IF(VLOOKUP(D241,A!A$1:H$767,5,FALSE)="y",1,0)</f>
        <v>0</v>
      </c>
      <c r="M241" s="711"/>
      <c r="N241" s="67" t="str">
        <f>VLOOKUP(D241,A!A$1:H$767,6,FALSE)</f>
        <v>y</v>
      </c>
      <c r="O241" s="93">
        <v>1</v>
      </c>
      <c r="P241" s="10" t="str">
        <f>VLOOKUP(D241,A!A$1:G$767,2,FALSE)</f>
        <v>y</v>
      </c>
      <c r="Q241" s="10" t="s">
        <v>57</v>
      </c>
      <c r="R241" s="10">
        <f t="shared" si="21"/>
        <v>0</v>
      </c>
      <c r="S241" s="10">
        <f>VLOOKUP(D241,A!A$1:AK$767,31,FALSE)</f>
        <v>35</v>
      </c>
      <c r="T241" s="10">
        <v>0.2</v>
      </c>
      <c r="U241" s="10">
        <f t="shared" si="22"/>
        <v>0</v>
      </c>
      <c r="X241" s="10"/>
    </row>
    <row r="242" spans="1:24" ht="11.25" hidden="1" customHeight="1" x14ac:dyDescent="0.25">
      <c r="A242" s="1" t="str">
        <f>IF(R242=0,"",COUNTIF(A$23:A241,"&gt;0")+1)</f>
        <v/>
      </c>
      <c r="B242" s="87"/>
      <c r="C242" s="63" t="s">
        <v>51</v>
      </c>
      <c r="D242" s="88" t="s">
        <v>482</v>
      </c>
      <c r="E242" s="95" t="s">
        <v>483</v>
      </c>
      <c r="F242" s="65"/>
      <c r="G242" s="89" t="s">
        <v>484</v>
      </c>
      <c r="H242" s="90" t="s">
        <v>485</v>
      </c>
      <c r="I242" s="67">
        <f>VLOOKUP(D242,A!A$1:H$767,8,FALSE)</f>
        <v>1</v>
      </c>
      <c r="J242" s="67"/>
      <c r="K242" s="68">
        <f>IF(VLOOKUP(D242,A!A$1:H$767,4,FALSE)="y",1,0)</f>
        <v>0</v>
      </c>
      <c r="L242" s="68">
        <f>IF(VLOOKUP(D242,A!A$1:H$767,5,FALSE)="y",1,0)</f>
        <v>0</v>
      </c>
      <c r="M242" s="711"/>
      <c r="N242" s="67">
        <f>VLOOKUP(D242,A!A$1:H$767,6,FALSE)</f>
        <v>0</v>
      </c>
      <c r="O242" s="93" t="s">
        <v>65</v>
      </c>
      <c r="P242" s="10">
        <f>VLOOKUP(D242,A!A$1:G$767,2,FALSE)</f>
        <v>0</v>
      </c>
      <c r="Q242" s="10" t="s">
        <v>57</v>
      </c>
      <c r="R242" s="10">
        <f t="shared" si="21"/>
        <v>0</v>
      </c>
      <c r="S242" s="10">
        <f>VLOOKUP(D242,A!A$1:AK$767,31,FALSE)</f>
        <v>55</v>
      </c>
      <c r="T242" s="10">
        <v>0.2</v>
      </c>
      <c r="U242" s="10">
        <f t="shared" si="22"/>
        <v>0</v>
      </c>
      <c r="X242" s="10"/>
    </row>
    <row r="243" spans="1:24" ht="11.25" hidden="1" customHeight="1" x14ac:dyDescent="0.25">
      <c r="A243" s="1" t="str">
        <f>IF(R243=0,"",COUNTIF(A$23:A242,"&gt;0")+1)</f>
        <v/>
      </c>
      <c r="B243" s="87"/>
      <c r="C243" s="63" t="s">
        <v>51</v>
      </c>
      <c r="D243" s="88" t="s">
        <v>486</v>
      </c>
      <c r="E243" s="95"/>
      <c r="F243" s="65"/>
      <c r="G243" s="89"/>
      <c r="H243" s="90"/>
      <c r="I243" s="67">
        <f>VLOOKUP(D243,A!A$1:H$767,8,FALSE)</f>
        <v>3</v>
      </c>
      <c r="J243" s="67"/>
      <c r="K243" s="68">
        <f>IF(VLOOKUP(D243,A!A$1:H$767,4,FALSE)="y",1,0)</f>
        <v>0</v>
      </c>
      <c r="L243" s="68">
        <f>IF(VLOOKUP(D243,A!A$1:H$767,5,FALSE)="y",1,0)</f>
        <v>0</v>
      </c>
      <c r="M243" s="711"/>
      <c r="N243" s="67">
        <f>VLOOKUP(D243,A!A$1:H$767,6,FALSE)</f>
        <v>0</v>
      </c>
      <c r="O243" s="93"/>
      <c r="P243" s="10">
        <f>VLOOKUP(D243,A!A$1:G$767,2,FALSE)</f>
        <v>0</v>
      </c>
      <c r="Q243" s="10" t="s">
        <v>57</v>
      </c>
      <c r="R243" s="10">
        <f t="shared" si="21"/>
        <v>0</v>
      </c>
      <c r="S243" s="10" t="str">
        <f>VLOOKUP(D243,A!A$1:AK$767,31,FALSE)</f>
        <v/>
      </c>
      <c r="T243" s="10">
        <v>0.2</v>
      </c>
      <c r="U243" s="10">
        <f t="shared" si="22"/>
        <v>0</v>
      </c>
      <c r="X243" s="10"/>
    </row>
    <row r="244" spans="1:24" ht="11.25" hidden="1" customHeight="1" x14ac:dyDescent="0.25">
      <c r="A244" s="1" t="str">
        <f>IF(R244=0,"",COUNTIF(A$23:A243,"&gt;0")+1)</f>
        <v/>
      </c>
      <c r="B244" s="87"/>
      <c r="C244" s="63" t="s">
        <v>51</v>
      </c>
      <c r="D244" s="88" t="s">
        <v>487</v>
      </c>
      <c r="E244" s="65"/>
      <c r="F244" s="65"/>
      <c r="G244" s="89" t="s">
        <v>488</v>
      </c>
      <c r="H244" s="90" t="s">
        <v>489</v>
      </c>
      <c r="I244" s="67">
        <f>VLOOKUP(D244,A!A$1:H$767,8,FALSE)</f>
        <v>2</v>
      </c>
      <c r="J244" s="67"/>
      <c r="K244" s="68">
        <f>IF(VLOOKUP(D244,A!A$1:H$767,4,FALSE)="y",1,0)</f>
        <v>1</v>
      </c>
      <c r="L244" s="68">
        <f>IF(VLOOKUP(D244,A!A$1:H$767,5,FALSE)="y",1,0)</f>
        <v>0</v>
      </c>
      <c r="M244" s="711"/>
      <c r="N244" s="67">
        <f>VLOOKUP(D244,A!A$1:H$767,6,FALSE)</f>
        <v>0</v>
      </c>
      <c r="O244" s="93" t="s">
        <v>65</v>
      </c>
      <c r="P244" s="10">
        <f>VLOOKUP(D244,A!A$1:G$767,2,FALSE)</f>
        <v>0</v>
      </c>
      <c r="Q244" s="10" t="s">
        <v>57</v>
      </c>
      <c r="R244" s="10">
        <f t="shared" si="21"/>
        <v>0</v>
      </c>
      <c r="S244" s="10">
        <f>VLOOKUP(D244,A!A$1:AK$767,31,FALSE)</f>
        <v>55</v>
      </c>
      <c r="T244" s="10">
        <v>0.2</v>
      </c>
      <c r="U244" s="10">
        <f t="shared" si="22"/>
        <v>0</v>
      </c>
      <c r="X244" s="10"/>
    </row>
    <row r="245" spans="1:24" ht="11.25" hidden="1" customHeight="1" x14ac:dyDescent="0.25">
      <c r="A245" s="1" t="str">
        <f>IF(R245=0,"",COUNTIF(A$23:A244,"&gt;0")+1)</f>
        <v/>
      </c>
      <c r="B245" s="87"/>
      <c r="C245" s="63" t="s">
        <v>51</v>
      </c>
      <c r="D245" s="88" t="s">
        <v>490</v>
      </c>
      <c r="E245" s="95" t="s">
        <v>483</v>
      </c>
      <c r="F245" s="65"/>
      <c r="G245" s="89" t="s">
        <v>491</v>
      </c>
      <c r="H245" s="90" t="s">
        <v>492</v>
      </c>
      <c r="I245" s="67">
        <f>VLOOKUP(D245,A!A$1:H$767,8,FALSE)</f>
        <v>1</v>
      </c>
      <c r="J245" s="67"/>
      <c r="K245" s="68">
        <f>IF(VLOOKUP(D245,A!A$1:H$767,4,FALSE)="y",1,0)</f>
        <v>0</v>
      </c>
      <c r="L245" s="68">
        <f>IF(VLOOKUP(D245,A!A$1:H$767,5,FALSE)="y",1,0)</f>
        <v>0</v>
      </c>
      <c r="M245" s="711"/>
      <c r="N245" s="67">
        <f>VLOOKUP(D245,A!A$1:H$767,6,FALSE)</f>
        <v>0</v>
      </c>
      <c r="O245" s="93" t="s">
        <v>65</v>
      </c>
      <c r="P245" s="10">
        <f>VLOOKUP(D245,A!A$1:G$767,2,FALSE)</f>
        <v>0</v>
      </c>
      <c r="Q245" s="10" t="s">
        <v>57</v>
      </c>
      <c r="R245" s="10">
        <f t="shared" si="21"/>
        <v>0</v>
      </c>
      <c r="S245" s="10">
        <f>VLOOKUP(D245,A!A$1:AK$767,31,FALSE)</f>
        <v>55</v>
      </c>
      <c r="T245" s="10">
        <v>0.2</v>
      </c>
      <c r="U245" s="10">
        <f t="shared" si="22"/>
        <v>0</v>
      </c>
      <c r="X245" s="10"/>
    </row>
    <row r="246" spans="1:24" ht="11.25" customHeight="1" x14ac:dyDescent="0.25">
      <c r="A246" s="1" t="str">
        <f>IF(R246=0,"",COUNTIF(A$23:A245,"&gt;0")+1)</f>
        <v/>
      </c>
      <c r="B246" s="87"/>
      <c r="C246" s="63" t="s">
        <v>51</v>
      </c>
      <c r="D246" s="88" t="s">
        <v>493</v>
      </c>
      <c r="E246" s="65"/>
      <c r="F246" s="65"/>
      <c r="G246" s="97" t="s">
        <v>494</v>
      </c>
      <c r="H246" s="90" t="s">
        <v>495</v>
      </c>
      <c r="I246" s="67">
        <f>VLOOKUP(D246,A!A$1:H$767,8,FALSE)</f>
        <v>1</v>
      </c>
      <c r="J246" s="67"/>
      <c r="K246" s="68">
        <f>IF(VLOOKUP(D246,A!A$1:H$767,4,FALSE)="y",1,0)</f>
        <v>1</v>
      </c>
      <c r="L246" s="68">
        <f>IF(VLOOKUP(D246,A!A$1:H$767,5,FALSE)="y",1,0)</f>
        <v>1</v>
      </c>
      <c r="M246" s="711"/>
      <c r="N246" s="67"/>
      <c r="O246" s="93">
        <v>2</v>
      </c>
      <c r="P246" s="10" t="str">
        <f>VLOOKUP(D246,A!A$1:G$767,2,FALSE)</f>
        <v>y</v>
      </c>
      <c r="Q246" s="10" t="s">
        <v>57</v>
      </c>
      <c r="R246" s="10">
        <f t="shared" ref="R246:R252" si="23">B246</f>
        <v>0</v>
      </c>
      <c r="S246" s="10">
        <f>VLOOKUP(D246,A!A$1:AK$767,31,FALSE)</f>
        <v>55</v>
      </c>
      <c r="T246" s="10">
        <v>0.2</v>
      </c>
      <c r="U246" s="10">
        <f t="shared" ref="U246:U251" si="24">T246*B246</f>
        <v>0</v>
      </c>
      <c r="X246" s="10"/>
    </row>
    <row r="247" spans="1:24" ht="11.25" hidden="1" customHeight="1" x14ac:dyDescent="0.25">
      <c r="A247" s="1" t="str">
        <f>IF(R247=0,"",COUNTIF(A$23:A246,"&gt;0")+1)</f>
        <v/>
      </c>
      <c r="B247" s="87"/>
      <c r="C247" s="63" t="s">
        <v>51</v>
      </c>
      <c r="D247" s="88" t="s">
        <v>496</v>
      </c>
      <c r="E247" s="65"/>
      <c r="F247" s="65"/>
      <c r="G247" s="97" t="s">
        <v>497</v>
      </c>
      <c r="H247" s="66" t="s">
        <v>498</v>
      </c>
      <c r="I247" s="67">
        <f>VLOOKUP(D247,A!A$1:H$767,8,FALSE)</f>
        <v>1</v>
      </c>
      <c r="J247" s="67" t="s">
        <v>63</v>
      </c>
      <c r="K247" s="68">
        <f>IF(VLOOKUP(D247,A!A$1:H$767,4,FALSE)="y",1,0)</f>
        <v>0</v>
      </c>
      <c r="L247" s="68">
        <f>IF(VLOOKUP(D247,A!A$1:H$767,5,FALSE)="y",1,0)</f>
        <v>0</v>
      </c>
      <c r="M247" s="711" t="s">
        <v>64</v>
      </c>
      <c r="N247" s="67">
        <f>VLOOKUP(D247,A!A$1:H$767,6,FALSE)</f>
        <v>0</v>
      </c>
      <c r="O247" s="93" t="s">
        <v>73</v>
      </c>
      <c r="P247" s="10">
        <f>VLOOKUP(D247,A!A$1:G$767,2,FALSE)</f>
        <v>0</v>
      </c>
      <c r="Q247" s="10" t="s">
        <v>57</v>
      </c>
      <c r="R247" s="10">
        <f t="shared" si="23"/>
        <v>0</v>
      </c>
      <c r="S247" s="10">
        <f>VLOOKUP(D247,A!A$1:AK$767,31,FALSE)</f>
        <v>25</v>
      </c>
      <c r="T247" s="10">
        <v>0.2</v>
      </c>
      <c r="U247" s="10">
        <f t="shared" si="24"/>
        <v>0</v>
      </c>
      <c r="X247" s="10"/>
    </row>
    <row r="248" spans="1:24" ht="12" customHeight="1" thickBot="1" x14ac:dyDescent="0.3">
      <c r="A248" s="1" t="str">
        <f>IF(R248=0,"",COUNTIF(A$23:A247,"&gt;0")+1)</f>
        <v/>
      </c>
      <c r="B248" s="98"/>
      <c r="C248" s="63" t="s">
        <v>51</v>
      </c>
      <c r="D248" s="88" t="s">
        <v>499</v>
      </c>
      <c r="E248" s="65"/>
      <c r="F248" s="65"/>
      <c r="G248" s="97" t="s">
        <v>500</v>
      </c>
      <c r="H248" s="66" t="s">
        <v>501</v>
      </c>
      <c r="I248" s="67">
        <f>VLOOKUP(D248,A!A$1:H$767,8,FALSE)</f>
        <v>1</v>
      </c>
      <c r="J248" s="67"/>
      <c r="K248" s="68">
        <f>IF(VLOOKUP(D248,A!A$1:H$767,4,FALSE)="y",1,0)</f>
        <v>1</v>
      </c>
      <c r="L248" s="68">
        <f>IF(VLOOKUP(D248,A!A$1:H$767,5,FALSE)="y",1,0)</f>
        <v>0</v>
      </c>
      <c r="M248" s="711"/>
      <c r="N248" s="67"/>
      <c r="O248" s="93" t="s">
        <v>73</v>
      </c>
      <c r="P248" s="10" t="str">
        <f>VLOOKUP(D248,A!A$1:G$767,2,FALSE)</f>
        <v>y</v>
      </c>
      <c r="Q248" s="10" t="s">
        <v>57</v>
      </c>
      <c r="R248" s="10">
        <f t="shared" si="23"/>
        <v>0</v>
      </c>
      <c r="S248" s="10">
        <f>VLOOKUP(D248,A!A$1:AK$767,31,FALSE)</f>
        <v>55</v>
      </c>
      <c r="T248" s="10">
        <v>0.2</v>
      </c>
      <c r="U248" s="10">
        <f t="shared" si="24"/>
        <v>0</v>
      </c>
      <c r="X248" s="10"/>
    </row>
    <row r="249" spans="1:24" ht="11.25" hidden="1" customHeight="1" x14ac:dyDescent="0.25">
      <c r="A249" s="1" t="str">
        <f>IF(R249=0,"",COUNTIF(A$23:A248,"&gt;0")+1)</f>
        <v/>
      </c>
      <c r="B249" s="98"/>
      <c r="C249" s="63" t="s">
        <v>51</v>
      </c>
      <c r="D249" s="88" t="s">
        <v>502</v>
      </c>
      <c r="E249" s="65"/>
      <c r="F249" s="65"/>
      <c r="G249" s="97"/>
      <c r="H249" s="66"/>
      <c r="I249" s="67">
        <f>VLOOKUP(D249,A!A$1:H$767,8,FALSE)</f>
        <v>0</v>
      </c>
      <c r="J249" s="67"/>
      <c r="K249" s="68">
        <f>IF(VLOOKUP(D249,A!A$1:H$767,4,FALSE)="y",1,0)</f>
        <v>0</v>
      </c>
      <c r="L249" s="68">
        <f>IF(VLOOKUP(D249,A!A$1:H$767,5,FALSE)="y",1,0)</f>
        <v>0</v>
      </c>
      <c r="M249" s="92" t="str">
        <f>IF(VLOOKUP(D249,A!A$1:H$767,3,FALSE)="y","NEW","")</f>
        <v/>
      </c>
      <c r="N249" s="67">
        <f>VLOOKUP(D249,A!A$1:H$767,6,FALSE)</f>
        <v>0</v>
      </c>
      <c r="O249" s="93"/>
      <c r="P249" s="10">
        <f>VLOOKUP(D249,A!A$1:G$767,2,FALSE)</f>
        <v>0</v>
      </c>
      <c r="Q249" s="10" t="s">
        <v>57</v>
      </c>
      <c r="R249" s="10">
        <f t="shared" si="23"/>
        <v>0</v>
      </c>
      <c r="S249" s="10" t="str">
        <f>VLOOKUP(D249,A!A$1:AK$767,31,FALSE)</f>
        <v/>
      </c>
      <c r="T249" s="10">
        <v>0.2</v>
      </c>
      <c r="U249" s="10">
        <f t="shared" si="24"/>
        <v>0</v>
      </c>
      <c r="X249" s="10"/>
    </row>
    <row r="250" spans="1:24" ht="11.25" hidden="1" customHeight="1" x14ac:dyDescent="0.25">
      <c r="A250" s="1" t="str">
        <f>IF(R250=0,"",COUNTIF(A$23:A249,"&gt;0")+1)</f>
        <v/>
      </c>
      <c r="B250" s="98"/>
      <c r="C250" s="63" t="s">
        <v>51</v>
      </c>
      <c r="D250" s="88" t="s">
        <v>503</v>
      </c>
      <c r="E250" s="65"/>
      <c r="F250" s="65"/>
      <c r="G250" s="97"/>
      <c r="H250" s="66"/>
      <c r="I250" s="67">
        <f>VLOOKUP(D250,A!A$1:H$767,8,FALSE)</f>
        <v>0</v>
      </c>
      <c r="J250" s="67"/>
      <c r="K250" s="68">
        <f>IF(VLOOKUP(D250,A!A$1:H$767,4,FALSE)="y",1,0)</f>
        <v>0</v>
      </c>
      <c r="L250" s="68">
        <f>IF(VLOOKUP(D250,A!A$1:H$767,5,FALSE)="y",1,0)</f>
        <v>0</v>
      </c>
      <c r="M250" s="92" t="str">
        <f>IF(VLOOKUP(D250,A!A$1:H$767,3,FALSE)="y","NEW","")</f>
        <v/>
      </c>
      <c r="N250" s="67">
        <f>VLOOKUP(D250,A!A$1:H$767,6,FALSE)</f>
        <v>0</v>
      </c>
      <c r="O250" s="93"/>
      <c r="P250" s="10">
        <f>VLOOKUP(D250,A!A$1:G$767,2,FALSE)</f>
        <v>0</v>
      </c>
      <c r="Q250" s="10" t="s">
        <v>57</v>
      </c>
      <c r="R250" s="10">
        <f t="shared" si="23"/>
        <v>0</v>
      </c>
      <c r="S250" s="10" t="str">
        <f>VLOOKUP(D250,A!A$1:AK$767,31,FALSE)</f>
        <v/>
      </c>
      <c r="T250" s="10">
        <v>0.2</v>
      </c>
      <c r="U250" s="10">
        <f t="shared" si="24"/>
        <v>0</v>
      </c>
      <c r="X250" s="10"/>
    </row>
    <row r="251" spans="1:24" ht="12" hidden="1" customHeight="1" thickBot="1" x14ac:dyDescent="0.3">
      <c r="A251" s="1" t="str">
        <f>IF(R251=0,"",COUNTIF(A$23:A250,"&gt;0")+1)</f>
        <v/>
      </c>
      <c r="B251" s="99"/>
      <c r="C251" s="100" t="s">
        <v>51</v>
      </c>
      <c r="D251" s="101" t="s">
        <v>504</v>
      </c>
      <c r="E251" s="102"/>
      <c r="F251" s="102"/>
      <c r="G251" s="103" t="s">
        <v>500</v>
      </c>
      <c r="H251" s="104" t="s">
        <v>505</v>
      </c>
      <c r="I251" s="105">
        <f>VLOOKUP(D251,A!A$1:H$767,8,FALSE)</f>
        <v>1</v>
      </c>
      <c r="J251" s="105"/>
      <c r="K251" s="106">
        <f>IF(VLOOKUP(D251,A!A$1:H$767,4,FALSE)="y",1,0)</f>
        <v>0</v>
      </c>
      <c r="L251" s="106">
        <f>IF(VLOOKUP(D251,A!A$1:H$767,5,FALSE)="y",1,0)</f>
        <v>0</v>
      </c>
      <c r="M251" s="107" t="str">
        <f>IF(VLOOKUP(D251,A!A$1:H$767,3,FALSE)="y","NEW","")</f>
        <v/>
      </c>
      <c r="N251" s="105">
        <f>VLOOKUP(D251,A!A$1:H$767,6,FALSE)</f>
        <v>0</v>
      </c>
      <c r="O251" s="108" t="s">
        <v>73</v>
      </c>
      <c r="P251" s="10">
        <f>VLOOKUP(D251,A!A$1:G$767,2,FALSE)</f>
        <v>0</v>
      </c>
      <c r="Q251" s="10" t="s">
        <v>57</v>
      </c>
      <c r="R251" s="10">
        <f t="shared" si="23"/>
        <v>0</v>
      </c>
      <c r="S251" s="10" t="str">
        <f>VLOOKUP(D251,A!A$1:AK$767,31,FALSE)</f>
        <v/>
      </c>
      <c r="T251" s="10">
        <v>0.2</v>
      </c>
      <c r="U251" s="10">
        <f t="shared" si="24"/>
        <v>0</v>
      </c>
      <c r="X251" s="10"/>
    </row>
    <row r="252" spans="1:24" x14ac:dyDescent="0.25">
      <c r="A252" s="1" t="str">
        <f>IF(R252=0,"",COUNTIF(A$23:A251,"&gt;0")+1)</f>
        <v/>
      </c>
      <c r="B252" s="109">
        <f>SUM(B75:B251)</f>
        <v>0</v>
      </c>
      <c r="C252" s="110" t="s">
        <v>51</v>
      </c>
      <c r="D252" s="111" t="s">
        <v>506</v>
      </c>
      <c r="E252" s="112"/>
      <c r="F252" s="112"/>
      <c r="G252" s="112"/>
      <c r="H252" s="112"/>
      <c r="I252" s="113"/>
      <c r="J252" s="113"/>
      <c r="K252" s="113"/>
      <c r="L252" s="113"/>
      <c r="M252" s="114"/>
      <c r="N252" s="113"/>
      <c r="O252" s="113"/>
      <c r="P252" s="10"/>
      <c r="Q252" s="10" t="s">
        <v>57</v>
      </c>
      <c r="R252" s="10">
        <f t="shared" si="23"/>
        <v>0</v>
      </c>
      <c r="S252" s="10"/>
      <c r="T252" s="10"/>
      <c r="U252" s="10"/>
      <c r="X252" s="10"/>
    </row>
    <row r="253" spans="1:24" ht="7.5" customHeight="1" thickBot="1" x14ac:dyDescent="0.3">
      <c r="A253" s="1" t="str">
        <f>IF(R253=0,"",COUNTIF(A$23:A252,"&gt;0")+1)</f>
        <v/>
      </c>
      <c r="P253" s="10"/>
      <c r="Q253" s="10"/>
      <c r="R253" s="10"/>
      <c r="S253" s="10"/>
      <c r="T253" s="10"/>
      <c r="U253" s="10"/>
      <c r="X253" s="10"/>
    </row>
    <row r="254" spans="1:24" ht="9" customHeight="1" thickBot="1" x14ac:dyDescent="0.3">
      <c r="A254" s="1" t="str">
        <f>IF(R254=0,"",COUNTIF(A$23:A253,"&gt;0")+1)</f>
        <v/>
      </c>
      <c r="B254" s="1231" t="s">
        <v>41</v>
      </c>
      <c r="C254" s="1231"/>
      <c r="D254" s="1230" t="s">
        <v>539</v>
      </c>
      <c r="E254" s="1230"/>
      <c r="F254" s="1230"/>
      <c r="G254" s="1230"/>
      <c r="H254" s="1181" t="s">
        <v>44</v>
      </c>
      <c r="I254" s="115" t="s">
        <v>540</v>
      </c>
      <c r="J254" s="115"/>
      <c r="K254" s="115"/>
      <c r="L254" s="115"/>
      <c r="M254" s="115"/>
      <c r="N254" s="115"/>
      <c r="O254" s="116"/>
      <c r="P254" s="10"/>
      <c r="Q254" s="10"/>
      <c r="R254" s="10"/>
      <c r="S254" s="10"/>
      <c r="T254" s="10"/>
      <c r="U254" s="10"/>
      <c r="X254" s="10"/>
    </row>
    <row r="255" spans="1:24" ht="9.75" customHeight="1" thickBot="1" x14ac:dyDescent="0.3">
      <c r="A255" s="1" t="str">
        <f>IF(R255=0,"",COUNTIF(A$23:A254,"&gt;0")+1)</f>
        <v/>
      </c>
      <c r="B255" s="1229" t="s">
        <v>46</v>
      </c>
      <c r="C255" s="1229"/>
      <c r="D255" s="1230"/>
      <c r="E255" s="1230"/>
      <c r="F255" s="1230"/>
      <c r="G255" s="1230"/>
      <c r="H255" s="1181"/>
      <c r="I255" s="118" t="s">
        <v>47</v>
      </c>
      <c r="J255" s="119"/>
      <c r="K255" s="119"/>
      <c r="L255" s="119"/>
      <c r="M255" s="118"/>
      <c r="N255" s="119"/>
      <c r="O255" s="120" t="s">
        <v>48</v>
      </c>
      <c r="P255" s="75" t="s">
        <v>49</v>
      </c>
      <c r="Q255" s="10"/>
      <c r="R255" s="10"/>
      <c r="S255" s="10"/>
      <c r="T255" s="10"/>
      <c r="U255" s="10"/>
      <c r="X255" s="10"/>
    </row>
    <row r="256" spans="1:24" ht="11.25" customHeight="1" x14ac:dyDescent="0.25">
      <c r="A256" s="1" t="str">
        <f>IF(R256=0,"",COUNTIF(A$23:A255,"&gt;0")+1)</f>
        <v/>
      </c>
      <c r="B256" s="121"/>
      <c r="C256" s="122" t="s">
        <v>51</v>
      </c>
      <c r="D256" s="123" t="s">
        <v>541</v>
      </c>
      <c r="E256" s="124"/>
      <c r="F256" s="124"/>
      <c r="G256" s="716" t="s">
        <v>53</v>
      </c>
      <c r="H256" s="126" t="s">
        <v>59</v>
      </c>
      <c r="I256" s="148">
        <v>4</v>
      </c>
      <c r="J256" s="127"/>
      <c r="K256" s="68">
        <f>IF(VLOOKUP(D256,A!A$1:H$767,4,FALSE)="y",1,0)</f>
        <v>1</v>
      </c>
      <c r="L256" s="68">
        <f>IF(VLOOKUP(D256,A!A$1:H$767,5,FALSE)="y",1,0)</f>
        <v>1</v>
      </c>
      <c r="M256" s="706" t="str">
        <f>IF(VLOOKUP(D256,A!A$1:H$767,3,FALSE)="y","NEW","")</f>
        <v/>
      </c>
      <c r="N256" s="150">
        <f>VLOOKUP(D256,A!A$1:H$767,6,FALSE)</f>
        <v>0</v>
      </c>
      <c r="O256" s="130" t="s">
        <v>65</v>
      </c>
      <c r="P256" s="10" t="str">
        <f>VLOOKUP(D256,A!A$1:G$767,2,FALSE)</f>
        <v>y</v>
      </c>
      <c r="Q256" s="10" t="s">
        <v>542</v>
      </c>
      <c r="R256" s="10">
        <f t="shared" ref="R256:R274" si="25">B256</f>
        <v>0</v>
      </c>
      <c r="S256" s="10">
        <f>VLOOKUP(D256,A!A$1:AK$767,31,FALSE)</f>
        <v>25</v>
      </c>
      <c r="T256" s="10">
        <v>0.2</v>
      </c>
      <c r="U256" s="10">
        <f t="shared" ref="U256:U273" si="26">T256*B256</f>
        <v>0</v>
      </c>
      <c r="X256" s="10"/>
    </row>
    <row r="257" spans="1:24" ht="11.25" hidden="1" customHeight="1" x14ac:dyDescent="0.25">
      <c r="A257" s="1" t="str">
        <f>IF(R257=0,"",COUNTIF(A$23:A256,"&gt;0")+1)</f>
        <v/>
      </c>
      <c r="B257" s="133"/>
      <c r="C257" s="63" t="s">
        <v>51</v>
      </c>
      <c r="D257" s="64" t="s">
        <v>1472</v>
      </c>
      <c r="E257" s="65"/>
      <c r="F257" s="65"/>
      <c r="G257" s="97" t="s">
        <v>1473</v>
      </c>
      <c r="H257" s="66" t="s">
        <v>1297</v>
      </c>
      <c r="I257" s="67">
        <f>VLOOKUP(D257,A!A$1:H$767,8,FALSE)</f>
        <v>2</v>
      </c>
      <c r="J257" s="67" t="s">
        <v>63</v>
      </c>
      <c r="K257" s="68">
        <f>IF(VLOOKUP(D257,A!A$1:H$767,4,FALSE)="y",1,0)</f>
        <v>0</v>
      </c>
      <c r="L257" s="68">
        <f>IF(VLOOKUP(D257,A!A$1:H$767,5,FALSE)="y",1,0)</f>
        <v>0</v>
      </c>
      <c r="M257" s="706" t="str">
        <f>IF(VLOOKUP(D257,A!A$1:H$767,3,FALSE)="y","NEW","")</f>
        <v/>
      </c>
      <c r="N257" s="150">
        <f>VLOOKUP(D257,A!A$1:H$767,6,FALSE)</f>
        <v>0</v>
      </c>
      <c r="O257" s="132" t="s">
        <v>65</v>
      </c>
      <c r="P257" s="10">
        <f>VLOOKUP(D257,A!A$1:G$767,2,FALSE)</f>
        <v>0</v>
      </c>
      <c r="Q257" s="10" t="s">
        <v>542</v>
      </c>
      <c r="R257" s="10">
        <f t="shared" si="25"/>
        <v>0</v>
      </c>
      <c r="S257" s="10">
        <f>VLOOKUP(D257,A!A$1:AK$767,31,FALSE)</f>
        <v>25</v>
      </c>
      <c r="T257" s="10">
        <v>0.2</v>
      </c>
      <c r="U257" s="10">
        <f t="shared" si="26"/>
        <v>0</v>
      </c>
      <c r="X257" s="10"/>
    </row>
    <row r="258" spans="1:24" ht="11.25" hidden="1" customHeight="1" x14ac:dyDescent="0.25">
      <c r="A258" s="1" t="str">
        <f>IF(R258=0,"",COUNTIF(A$23:A257,"&gt;0")+1)</f>
        <v/>
      </c>
      <c r="B258" s="133"/>
      <c r="C258" s="63" t="s">
        <v>51</v>
      </c>
      <c r="D258" s="64" t="s">
        <v>544</v>
      </c>
      <c r="E258" s="65"/>
      <c r="F258" s="65"/>
      <c r="G258" s="97" t="s">
        <v>545</v>
      </c>
      <c r="H258" s="66" t="s">
        <v>546</v>
      </c>
      <c r="I258" s="67">
        <f>VLOOKUP(D258,A!A$1:H$767,8,FALSE)</f>
        <v>2</v>
      </c>
      <c r="J258" s="67"/>
      <c r="K258" s="68">
        <f>IF(VLOOKUP(D258,A!A$1:H$767,4,FALSE)="y",1,0)</f>
        <v>0</v>
      </c>
      <c r="L258" s="68">
        <f>IF(VLOOKUP(D258,A!A$1:H$767,5,FALSE)="y",1,0)</f>
        <v>0</v>
      </c>
      <c r="M258" s="706" t="str">
        <f>IF(VLOOKUP(D258,A!A$1:H$767,3,FALSE)="y","NEW","")</f>
        <v/>
      </c>
      <c r="N258" s="150">
        <f>VLOOKUP(D258,A!A$1:H$767,6,FALSE)</f>
        <v>0</v>
      </c>
      <c r="O258" s="132" t="s">
        <v>65</v>
      </c>
      <c r="P258" s="10">
        <f>VLOOKUP(D258,A!A$1:G$767,2,FALSE)</f>
        <v>0</v>
      </c>
      <c r="Q258" s="10" t="s">
        <v>542</v>
      </c>
      <c r="R258" s="10">
        <f t="shared" si="25"/>
        <v>0</v>
      </c>
      <c r="S258" s="10">
        <f>VLOOKUP(D258,A!A$1:AK$767,31,FALSE)</f>
        <v>25</v>
      </c>
      <c r="T258" s="10">
        <v>0.2</v>
      </c>
      <c r="U258" s="10">
        <f t="shared" si="26"/>
        <v>0</v>
      </c>
      <c r="X258" s="10"/>
    </row>
    <row r="259" spans="1:24" ht="11.25" hidden="1" customHeight="1" x14ac:dyDescent="0.25">
      <c r="A259" s="1" t="str">
        <f>IF(R259=0,"",COUNTIF(A$23:A258,"&gt;0")+1)</f>
        <v/>
      </c>
      <c r="B259" s="133"/>
      <c r="C259" s="63" t="s">
        <v>51</v>
      </c>
      <c r="D259" s="64" t="s">
        <v>547</v>
      </c>
      <c r="E259" s="65"/>
      <c r="F259" s="65"/>
      <c r="G259" s="97" t="s">
        <v>548</v>
      </c>
      <c r="H259" s="66" t="s">
        <v>549</v>
      </c>
      <c r="I259" s="67">
        <f>VLOOKUP(D259,A!A$1:H$767,8,FALSE)</f>
        <v>2</v>
      </c>
      <c r="J259" s="67"/>
      <c r="K259" s="68">
        <f>IF(VLOOKUP(D259,A!A$1:H$767,4,FALSE)="y",1,0)</f>
        <v>0</v>
      </c>
      <c r="L259" s="68">
        <f>IF(VLOOKUP(D259,A!A$1:H$767,5,FALSE)="y",1,0)</f>
        <v>0</v>
      </c>
      <c r="M259" s="706" t="s">
        <v>64</v>
      </c>
      <c r="N259" s="150">
        <f>VLOOKUP(D259,A!A$1:H$767,6,FALSE)</f>
        <v>0</v>
      </c>
      <c r="O259" s="132" t="s">
        <v>65</v>
      </c>
      <c r="P259" s="10">
        <f>VLOOKUP(D259,A!A$1:G$767,2,FALSE)</f>
        <v>0</v>
      </c>
      <c r="Q259" s="10" t="s">
        <v>542</v>
      </c>
      <c r="R259" s="10">
        <f t="shared" si="25"/>
        <v>0</v>
      </c>
      <c r="S259" s="10">
        <f>VLOOKUP(D259,A!A$1:AK$767,31,FALSE)</f>
        <v>25</v>
      </c>
      <c r="T259" s="10">
        <v>0.2</v>
      </c>
      <c r="U259" s="10">
        <f t="shared" si="26"/>
        <v>0</v>
      </c>
      <c r="X259" s="10"/>
    </row>
    <row r="260" spans="1:24" ht="11.25" hidden="1" customHeight="1" x14ac:dyDescent="0.25">
      <c r="A260" s="1" t="str">
        <f>IF(R260=0,"",COUNTIF(A$23:A259,"&gt;0")+1)</f>
        <v/>
      </c>
      <c r="B260" s="133"/>
      <c r="C260" s="63" t="s">
        <v>51</v>
      </c>
      <c r="D260" s="64" t="s">
        <v>550</v>
      </c>
      <c r="E260" s="65"/>
      <c r="F260" s="65"/>
      <c r="G260" s="97" t="s">
        <v>551</v>
      </c>
      <c r="H260" s="66" t="s">
        <v>552</v>
      </c>
      <c r="I260" s="67">
        <f>VLOOKUP(D260,A!A$1:H$767,8,FALSE)</f>
        <v>1</v>
      </c>
      <c r="J260" s="67" t="s">
        <v>63</v>
      </c>
      <c r="K260" s="68">
        <f>IF(VLOOKUP(D260,A!A$1:H$767,4,FALSE)="y",1,0)</f>
        <v>0</v>
      </c>
      <c r="L260" s="68">
        <f>IF(VLOOKUP(D260,A!A$1:H$767,5,FALSE)="y",1,0)</f>
        <v>0</v>
      </c>
      <c r="M260" s="706"/>
      <c r="N260" s="150">
        <f>VLOOKUP(D260,A!A$1:H$767,6,FALSE)</f>
        <v>0</v>
      </c>
      <c r="O260" s="132" t="s">
        <v>65</v>
      </c>
      <c r="P260" s="10">
        <f>VLOOKUP(D260,A!A$1:G$767,2,FALSE)</f>
        <v>0</v>
      </c>
      <c r="Q260" s="10" t="s">
        <v>542</v>
      </c>
      <c r="R260" s="10">
        <f t="shared" si="25"/>
        <v>0</v>
      </c>
      <c r="S260" s="10">
        <f>VLOOKUP(D260,A!A$1:AK$767,31,FALSE)</f>
        <v>25</v>
      </c>
      <c r="T260" s="10">
        <v>0.2</v>
      </c>
      <c r="U260" s="10">
        <f t="shared" si="26"/>
        <v>0</v>
      </c>
      <c r="X260" s="10"/>
    </row>
    <row r="261" spans="1:24" ht="11.25" customHeight="1" x14ac:dyDescent="0.25">
      <c r="A261" s="1" t="str">
        <f>IF(R261=0,"",COUNTIF(A$23:A260,"&gt;0")+1)</f>
        <v/>
      </c>
      <c r="B261" s="133"/>
      <c r="C261" s="63" t="s">
        <v>51</v>
      </c>
      <c r="D261" s="64" t="s">
        <v>553</v>
      </c>
      <c r="E261" s="65"/>
      <c r="F261" s="65"/>
      <c r="G261" s="97" t="s">
        <v>520</v>
      </c>
      <c r="H261" s="90" t="s">
        <v>554</v>
      </c>
      <c r="I261" s="67">
        <f>VLOOKUP(D261,A!A$1:H$767,8,FALSE)</f>
        <v>1</v>
      </c>
      <c r="J261" s="67"/>
      <c r="K261" s="68">
        <f>IF(VLOOKUP(D261,A!A$1:H$767,4,FALSE)="y",1,0)</f>
        <v>1</v>
      </c>
      <c r="L261" s="68">
        <f>IF(VLOOKUP(D261,A!A$1:H$767,5,FALSE)="y",1,0)</f>
        <v>1</v>
      </c>
      <c r="M261" s="706"/>
      <c r="N261" s="150">
        <f>VLOOKUP(D261,A!A$1:H$767,6,FALSE)</f>
        <v>0</v>
      </c>
      <c r="O261" s="132" t="s">
        <v>65</v>
      </c>
      <c r="P261" s="10" t="str">
        <f>VLOOKUP(D261,A!A$1:G$767,2,FALSE)</f>
        <v>y</v>
      </c>
      <c r="Q261" s="10" t="s">
        <v>542</v>
      </c>
      <c r="R261" s="10">
        <f t="shared" si="25"/>
        <v>0</v>
      </c>
      <c r="S261" s="10">
        <f>VLOOKUP(D261,A!A$1:AK$767,31,FALSE)</f>
        <v>25</v>
      </c>
      <c r="T261" s="10">
        <v>0.2</v>
      </c>
      <c r="U261" s="10">
        <f t="shared" si="26"/>
        <v>0</v>
      </c>
      <c r="X261" s="10"/>
    </row>
    <row r="262" spans="1:24" ht="11.25" hidden="1" customHeight="1" x14ac:dyDescent="0.25">
      <c r="A262" s="1" t="str">
        <f>IF(R262=0,"",COUNTIF(A$23:A261,"&gt;0")+1)</f>
        <v/>
      </c>
      <c r="B262" s="133"/>
      <c r="C262" s="63" t="s">
        <v>51</v>
      </c>
      <c r="D262" s="64" t="s">
        <v>555</v>
      </c>
      <c r="E262" s="65"/>
      <c r="F262" s="65"/>
      <c r="G262" s="97" t="s">
        <v>556</v>
      </c>
      <c r="H262" s="66" t="s">
        <v>557</v>
      </c>
      <c r="I262" s="67">
        <f>VLOOKUP(D262,A!A$1:H$767,8,FALSE)</f>
        <v>2</v>
      </c>
      <c r="J262" s="67"/>
      <c r="K262" s="68">
        <f>IF(VLOOKUP(D262,A!A$1:H$767,4,FALSE)="y",1,0)</f>
        <v>0</v>
      </c>
      <c r="L262" s="68">
        <f>IF(VLOOKUP(D262,A!A$1:H$767,5,FALSE)="y",1,0)</f>
        <v>0</v>
      </c>
      <c r="M262" s="706"/>
      <c r="N262" s="150">
        <f>VLOOKUP(D262,A!A$1:H$767,6,FALSE)</f>
        <v>0</v>
      </c>
      <c r="O262" s="132" t="s">
        <v>65</v>
      </c>
      <c r="P262" s="10">
        <f>VLOOKUP(D262,A!A$1:G$767,2,FALSE)</f>
        <v>0</v>
      </c>
      <c r="Q262" s="10" t="s">
        <v>542</v>
      </c>
      <c r="R262" s="10">
        <f t="shared" si="25"/>
        <v>0</v>
      </c>
      <c r="S262" s="10">
        <f>VLOOKUP(D262,A!A$1:AK$767,31,FALSE)</f>
        <v>25</v>
      </c>
      <c r="T262" s="10">
        <v>0.2</v>
      </c>
      <c r="U262" s="10">
        <f t="shared" si="26"/>
        <v>0</v>
      </c>
      <c r="X262" s="10"/>
    </row>
    <row r="263" spans="1:24" ht="11.25" hidden="1" customHeight="1" x14ac:dyDescent="0.25">
      <c r="A263" s="1" t="str">
        <f>IF(R263=0,"",COUNTIF(A$23:A262,"&gt;0")+1)</f>
        <v/>
      </c>
      <c r="B263" s="133"/>
      <c r="C263" s="63" t="s">
        <v>51</v>
      </c>
      <c r="D263" s="64" t="s">
        <v>558</v>
      </c>
      <c r="E263" s="65"/>
      <c r="F263" s="65"/>
      <c r="G263" s="97" t="s">
        <v>559</v>
      </c>
      <c r="H263" s="66" t="s">
        <v>560</v>
      </c>
      <c r="I263" s="67">
        <f>VLOOKUP(D263,A!A$1:H$767,8,FALSE)</f>
        <v>2</v>
      </c>
      <c r="J263" s="67"/>
      <c r="K263" s="68">
        <f>IF(VLOOKUP(D263,A!A$1:H$767,4,FALSE)="y",1,0)</f>
        <v>0</v>
      </c>
      <c r="L263" s="68">
        <f>IF(VLOOKUP(D263,A!A$1:H$767,5,FALSE)="y",1,0)</f>
        <v>0</v>
      </c>
      <c r="M263" s="706"/>
      <c r="N263" s="150">
        <f>VLOOKUP(D263,A!A$1:H$767,6,FALSE)</f>
        <v>0</v>
      </c>
      <c r="O263" s="132" t="s">
        <v>65</v>
      </c>
      <c r="P263" s="10">
        <f>VLOOKUP(D263,A!A$1:G$767,2,FALSE)</f>
        <v>0</v>
      </c>
      <c r="Q263" s="10" t="s">
        <v>542</v>
      </c>
      <c r="R263" s="10">
        <f>B263</f>
        <v>0</v>
      </c>
      <c r="S263" s="10">
        <f>VLOOKUP(D263,A!A$1:AK$767,31,FALSE)</f>
        <v>25</v>
      </c>
      <c r="T263" s="10">
        <v>0.2</v>
      </c>
      <c r="U263" s="10">
        <f>T263*B263</f>
        <v>0</v>
      </c>
      <c r="X263" s="10"/>
    </row>
    <row r="264" spans="1:24" ht="11.25" hidden="1" customHeight="1" x14ac:dyDescent="0.25">
      <c r="A264" s="1" t="str">
        <f>IF(R264=0,"",COUNTIF(A$23:A263,"&gt;0")+1)</f>
        <v/>
      </c>
      <c r="B264" s="133"/>
      <c r="C264" s="63" t="s">
        <v>51</v>
      </c>
      <c r="D264" s="527" t="s">
        <v>1310</v>
      </c>
      <c r="E264" s="65"/>
      <c r="F264" s="65"/>
      <c r="G264" s="97" t="s">
        <v>1313</v>
      </c>
      <c r="H264" s="66" t="s">
        <v>1314</v>
      </c>
      <c r="I264" s="67">
        <v>1</v>
      </c>
      <c r="J264" s="67"/>
      <c r="K264" s="68">
        <f>IF(VLOOKUP(D264,A!A$1:H$767,4,FALSE)="y",1,0)</f>
        <v>0</v>
      </c>
      <c r="L264" s="68"/>
      <c r="M264" s="706"/>
      <c r="N264" s="150"/>
      <c r="O264" s="132" t="s">
        <v>65</v>
      </c>
      <c r="P264" s="10">
        <f>VLOOKUP(D264,A!A$1:G$767,2,FALSE)</f>
        <v>0</v>
      </c>
      <c r="Q264" s="10" t="s">
        <v>542</v>
      </c>
      <c r="R264" s="10">
        <f>B264</f>
        <v>0</v>
      </c>
      <c r="S264" s="10">
        <f>VLOOKUP(D264,A!A$1:AK$767,31,FALSE)</f>
        <v>25</v>
      </c>
      <c r="T264" s="10">
        <v>0.2</v>
      </c>
      <c r="U264" s="10">
        <f>T264*B264</f>
        <v>0</v>
      </c>
      <c r="X264" s="10"/>
    </row>
    <row r="265" spans="1:24" ht="11.25" customHeight="1" x14ac:dyDescent="0.25">
      <c r="A265" s="1" t="str">
        <f>IF(R265=0,"",COUNTIF(A$23:A264,"&gt;0")+1)</f>
        <v/>
      </c>
      <c r="B265" s="133"/>
      <c r="C265" s="63" t="s">
        <v>51</v>
      </c>
      <c r="D265" s="64" t="s">
        <v>561</v>
      </c>
      <c r="E265" s="65"/>
      <c r="F265" s="65"/>
      <c r="G265" s="97" t="s">
        <v>562</v>
      </c>
      <c r="H265" s="66" t="s">
        <v>563</v>
      </c>
      <c r="I265" s="67">
        <f>VLOOKUP(D265,A!A$1:H$767,8,FALSE)</f>
        <v>1</v>
      </c>
      <c r="J265" s="67"/>
      <c r="K265" s="68">
        <f>IF(VLOOKUP(D265,A!A$1:H$767,4,FALSE)="y",1,0)</f>
        <v>1</v>
      </c>
      <c r="L265" s="68">
        <f>IF(VLOOKUP(D265,A!A$1:H$767,5,FALSE)="y",1,0)</f>
        <v>0</v>
      </c>
      <c r="M265" s="706"/>
      <c r="N265" s="150">
        <f>VLOOKUP(D265,A!A$1:H$767,6,FALSE)</f>
        <v>0</v>
      </c>
      <c r="O265" s="132" t="s">
        <v>65</v>
      </c>
      <c r="P265" s="10" t="str">
        <f>VLOOKUP(D265,A!A$1:G$767,2,FALSE)</f>
        <v>y</v>
      </c>
      <c r="Q265" s="10" t="s">
        <v>542</v>
      </c>
      <c r="R265" s="10">
        <f t="shared" si="25"/>
        <v>0</v>
      </c>
      <c r="S265" s="10">
        <f>VLOOKUP(D265,A!A$1:AK$767,31,FALSE)</f>
        <v>25</v>
      </c>
      <c r="T265" s="10">
        <v>0.2</v>
      </c>
      <c r="U265" s="10">
        <f t="shared" si="26"/>
        <v>0</v>
      </c>
      <c r="X265" s="10"/>
    </row>
    <row r="266" spans="1:24" ht="11.25" customHeight="1" x14ac:dyDescent="0.25">
      <c r="A266" s="1" t="str">
        <f>IF(R266=0,"",COUNTIF(A$23:A265,"&gt;0")+1)</f>
        <v/>
      </c>
      <c r="B266" s="133"/>
      <c r="C266" s="63" t="s">
        <v>51</v>
      </c>
      <c r="D266" s="64" t="s">
        <v>564</v>
      </c>
      <c r="E266" s="65"/>
      <c r="F266" s="65"/>
      <c r="G266" s="97" t="s">
        <v>565</v>
      </c>
      <c r="H266" s="66" t="s">
        <v>566</v>
      </c>
      <c r="I266" s="67">
        <f>VLOOKUP(D266,A!A$1:H$767,8,FALSE)</f>
        <v>2</v>
      </c>
      <c r="J266" s="67"/>
      <c r="K266" s="68">
        <f>IF(VLOOKUP(D266,A!A$1:H$767,4,FALSE)="y",1,0)</f>
        <v>1</v>
      </c>
      <c r="L266" s="68">
        <f>IF(VLOOKUP(D266,A!A$1:H$767,5,FALSE)="y",1,0)</f>
        <v>0</v>
      </c>
      <c r="M266" s="706" t="s">
        <v>64</v>
      </c>
      <c r="N266" s="150">
        <f>VLOOKUP(D266,A!A$1:H$767,6,FALSE)</f>
        <v>0</v>
      </c>
      <c r="O266" s="132" t="s">
        <v>65</v>
      </c>
      <c r="P266" s="10" t="str">
        <f>VLOOKUP(D266,A!A$1:G$767,2,FALSE)</f>
        <v>y</v>
      </c>
      <c r="Q266" s="10" t="s">
        <v>542</v>
      </c>
      <c r="R266" s="10">
        <f t="shared" si="25"/>
        <v>0</v>
      </c>
      <c r="S266" s="10">
        <f>VLOOKUP(D266,A!A$1:AK$767,31,FALSE)</f>
        <v>25</v>
      </c>
      <c r="T266" s="10">
        <v>0.2</v>
      </c>
      <c r="U266" s="10">
        <f t="shared" si="26"/>
        <v>0</v>
      </c>
      <c r="X266" s="10"/>
    </row>
    <row r="267" spans="1:24" ht="11.25" customHeight="1" x14ac:dyDescent="0.25">
      <c r="A267" s="1" t="str">
        <f>IF(R267=0,"",COUNTIF(A$23:A266,"&gt;0")+1)</f>
        <v/>
      </c>
      <c r="B267" s="133"/>
      <c r="C267" s="63" t="s">
        <v>51</v>
      </c>
      <c r="D267" s="64" t="s">
        <v>567</v>
      </c>
      <c r="E267" s="65"/>
      <c r="F267" s="65"/>
      <c r="G267" s="97" t="s">
        <v>568</v>
      </c>
      <c r="H267" s="66" t="s">
        <v>569</v>
      </c>
      <c r="I267" s="67">
        <f>VLOOKUP(D267,A!A$1:H$767,8,FALSE)</f>
        <v>2</v>
      </c>
      <c r="J267" s="67"/>
      <c r="K267" s="68">
        <f>IF(VLOOKUP(D267,A!A$1:H$767,4,FALSE)="y",1,0)</f>
        <v>1</v>
      </c>
      <c r="L267" s="68">
        <f>IF(VLOOKUP(D267,A!A$1:H$767,5,FALSE)="y",1,0)</f>
        <v>0</v>
      </c>
      <c r="M267" s="706" t="s">
        <v>64</v>
      </c>
      <c r="N267" s="150">
        <f>VLOOKUP(D267,A!A$1:H$767,6,FALSE)</f>
        <v>0</v>
      </c>
      <c r="O267" s="132" t="s">
        <v>570</v>
      </c>
      <c r="P267" s="10" t="str">
        <f>VLOOKUP(D267,A!A$1:G$767,2,FALSE)</f>
        <v>y</v>
      </c>
      <c r="Q267" s="10" t="s">
        <v>542</v>
      </c>
      <c r="R267" s="10">
        <f t="shared" si="25"/>
        <v>0</v>
      </c>
      <c r="S267" s="10">
        <f>VLOOKUP(D267,A!A$1:AK$767,31,FALSE)</f>
        <v>25</v>
      </c>
      <c r="T267" s="10">
        <v>0.2</v>
      </c>
      <c r="U267" s="10">
        <f t="shared" si="26"/>
        <v>0</v>
      </c>
      <c r="X267" s="10"/>
    </row>
    <row r="268" spans="1:24" ht="11.25" customHeight="1" x14ac:dyDescent="0.25">
      <c r="A268" s="1" t="str">
        <f>IF(R268=0,"",COUNTIF(A$23:A267,"&gt;0")+1)</f>
        <v/>
      </c>
      <c r="B268" s="133"/>
      <c r="C268" s="63" t="s">
        <v>51</v>
      </c>
      <c r="D268" s="64" t="s">
        <v>571</v>
      </c>
      <c r="E268" s="65"/>
      <c r="F268" s="65"/>
      <c r="G268" s="97" t="s">
        <v>572</v>
      </c>
      <c r="H268" s="66" t="s">
        <v>573</v>
      </c>
      <c r="I268" s="67">
        <f>VLOOKUP(D268,A!A$1:H$767,8,FALSE)</f>
        <v>2</v>
      </c>
      <c r="J268" s="67" t="s">
        <v>63</v>
      </c>
      <c r="K268" s="68">
        <f>IF(VLOOKUP(D268,A!A$1:H$767,4,FALSE)="y",1,0)</f>
        <v>1</v>
      </c>
      <c r="L268" s="68">
        <f>IF(VLOOKUP(D268,A!A$1:H$767,5,FALSE)="y",1,0)</f>
        <v>0</v>
      </c>
      <c r="M268" s="706" t="s">
        <v>64</v>
      </c>
      <c r="N268" s="150">
        <f>VLOOKUP(D268,A!A$1:H$767,6,FALSE)</f>
        <v>0</v>
      </c>
      <c r="O268" s="132" t="s">
        <v>65</v>
      </c>
      <c r="P268" s="10" t="str">
        <f>VLOOKUP(D268,A!A$1:G$767,2,FALSE)</f>
        <v>y</v>
      </c>
      <c r="Q268" s="10" t="s">
        <v>542</v>
      </c>
      <c r="R268" s="10">
        <f t="shared" si="25"/>
        <v>0</v>
      </c>
      <c r="S268" s="10">
        <f>VLOOKUP(D268,A!A$1:AK$767,31,FALSE)</f>
        <v>25</v>
      </c>
      <c r="T268" s="10">
        <v>0.2</v>
      </c>
      <c r="U268" s="10">
        <f t="shared" si="26"/>
        <v>0</v>
      </c>
      <c r="X268" s="10"/>
    </row>
    <row r="269" spans="1:24" ht="11.25" hidden="1" customHeight="1" x14ac:dyDescent="0.25">
      <c r="A269" s="1" t="str">
        <f>IF(R269=0,"",COUNTIF(A$23:A268,"&gt;0")+1)</f>
        <v/>
      </c>
      <c r="B269" s="133"/>
      <c r="C269" s="63" t="s">
        <v>51</v>
      </c>
      <c r="D269" s="64" t="s">
        <v>574</v>
      </c>
      <c r="E269" s="65"/>
      <c r="F269" s="65"/>
      <c r="G269" s="97" t="s">
        <v>527</v>
      </c>
      <c r="H269" s="66" t="s">
        <v>575</v>
      </c>
      <c r="I269" s="67">
        <f>VLOOKUP(D269,A!A$1:H$767,8,FALSE)</f>
        <v>1</v>
      </c>
      <c r="J269" s="67"/>
      <c r="K269" s="68">
        <f>IF(VLOOKUP(D269,A!A$1:H$767,4,FALSE)="y",1,0)</f>
        <v>0</v>
      </c>
      <c r="L269" s="68">
        <f>IF(VLOOKUP(D269,A!A$1:H$767,5,FALSE)="y",1,0)</f>
        <v>0</v>
      </c>
      <c r="M269" s="706" t="s">
        <v>64</v>
      </c>
      <c r="N269" s="150">
        <f>VLOOKUP(D269,A!A$1:H$767,6,FALSE)</f>
        <v>0</v>
      </c>
      <c r="O269" s="132" t="s">
        <v>65</v>
      </c>
      <c r="P269" s="10">
        <f>VLOOKUP(D269,A!A$1:G$767,2,FALSE)</f>
        <v>0</v>
      </c>
      <c r="Q269" s="10" t="s">
        <v>542</v>
      </c>
      <c r="R269" s="10">
        <f t="shared" si="25"/>
        <v>0</v>
      </c>
      <c r="S269" s="10">
        <f>VLOOKUP(D269,A!A$1:AK$767,31,FALSE)</f>
        <v>25</v>
      </c>
      <c r="T269" s="10">
        <v>0.2</v>
      </c>
      <c r="U269" s="10">
        <f t="shared" si="26"/>
        <v>0</v>
      </c>
      <c r="X269" s="10"/>
    </row>
    <row r="270" spans="1:24" ht="11.25" hidden="1" customHeight="1" x14ac:dyDescent="0.25">
      <c r="A270" s="1" t="str">
        <f>IF(R270=0,"",COUNTIF(A$23:A269,"&gt;0")+1)</f>
        <v/>
      </c>
      <c r="B270" s="525"/>
      <c r="C270" s="526" t="s">
        <v>51</v>
      </c>
      <c r="D270" s="527" t="s">
        <v>1278</v>
      </c>
      <c r="E270" s="65"/>
      <c r="F270" s="65"/>
      <c r="G270" s="97" t="s">
        <v>1279</v>
      </c>
      <c r="H270" s="66"/>
      <c r="I270" s="67">
        <v>1</v>
      </c>
      <c r="J270" s="67"/>
      <c r="K270" s="68">
        <v>1</v>
      </c>
      <c r="L270" s="68">
        <v>0</v>
      </c>
      <c r="M270" s="706"/>
      <c r="N270" s="150"/>
      <c r="O270" s="132" t="s">
        <v>65</v>
      </c>
      <c r="P270" s="10">
        <f>VLOOKUP(D270,A!A$1:G$767,2,FALSE)</f>
        <v>0</v>
      </c>
      <c r="Q270" s="10" t="s">
        <v>542</v>
      </c>
      <c r="R270" s="10">
        <f t="shared" si="25"/>
        <v>0</v>
      </c>
      <c r="S270" s="10">
        <f>VLOOKUP(D270,A!A$1:AK$767,31,FALSE)</f>
        <v>25</v>
      </c>
      <c r="T270" s="10">
        <v>0.2</v>
      </c>
      <c r="U270" s="10">
        <f t="shared" si="26"/>
        <v>0</v>
      </c>
      <c r="X270" s="10"/>
    </row>
    <row r="271" spans="1:24" ht="11.25" hidden="1" customHeight="1" x14ac:dyDescent="0.25">
      <c r="A271" s="1" t="str">
        <f>IF(R271=0,"",COUNTIF(A$23:A270,"&gt;0")+1)</f>
        <v/>
      </c>
      <c r="B271" s="525"/>
      <c r="C271" s="526" t="s">
        <v>51</v>
      </c>
      <c r="D271" s="269" t="s">
        <v>1304</v>
      </c>
      <c r="E271" s="65"/>
      <c r="F271" s="65"/>
      <c r="G271" s="97" t="s">
        <v>1308</v>
      </c>
      <c r="H271" s="66" t="s">
        <v>1309</v>
      </c>
      <c r="I271" s="67">
        <v>2</v>
      </c>
      <c r="J271" s="67"/>
      <c r="K271" s="68"/>
      <c r="L271" s="68"/>
      <c r="M271" s="706"/>
      <c r="N271" s="150"/>
      <c r="O271" s="132" t="s">
        <v>65</v>
      </c>
      <c r="P271" s="10">
        <f>VLOOKUP(D271,A!A$1:G$767,2,FALSE)</f>
        <v>0</v>
      </c>
      <c r="Q271" s="10" t="s">
        <v>542</v>
      </c>
      <c r="R271" s="10">
        <f>B271</f>
        <v>0</v>
      </c>
      <c r="S271" s="10">
        <f>VLOOKUP(D271,A!A$1:AK$767,31,FALSE)</f>
        <v>25</v>
      </c>
      <c r="T271" s="10">
        <v>0.2</v>
      </c>
      <c r="U271" s="10">
        <f>T271*B271</f>
        <v>0</v>
      </c>
      <c r="X271" s="10"/>
    </row>
    <row r="272" spans="1:24" ht="11.25" customHeight="1" thickBot="1" x14ac:dyDescent="0.3">
      <c r="A272" s="1" t="str">
        <f>IF(R272=0,"",COUNTIF(A$23:A271,"&gt;0")+1)</f>
        <v/>
      </c>
      <c r="B272" s="133"/>
      <c r="C272" s="63" t="s">
        <v>51</v>
      </c>
      <c r="D272" s="64" t="s">
        <v>576</v>
      </c>
      <c r="E272" s="65"/>
      <c r="F272" s="65"/>
      <c r="G272" s="97" t="s">
        <v>577</v>
      </c>
      <c r="H272" s="66" t="s">
        <v>578</v>
      </c>
      <c r="I272" s="67">
        <f>VLOOKUP(D272,A!A$1:H$767,8,FALSE)</f>
        <v>1</v>
      </c>
      <c r="J272" s="67"/>
      <c r="K272" s="68">
        <f>IF(VLOOKUP(D272,A!A$1:H$767,4,FALSE)="y",1,0)</f>
        <v>1</v>
      </c>
      <c r="L272" s="68">
        <f>IF(VLOOKUP(D272,A!A$1:H$767,5,FALSE)="y",1,0)</f>
        <v>1</v>
      </c>
      <c r="M272" s="706"/>
      <c r="N272" s="150">
        <f>VLOOKUP(D272,A!A$1:H$767,6,FALSE)</f>
        <v>0</v>
      </c>
      <c r="O272" s="132" t="s">
        <v>65</v>
      </c>
      <c r="P272" s="10" t="str">
        <f>VLOOKUP(D272,A!A$1:G$767,2,FALSE)</f>
        <v>y</v>
      </c>
      <c r="Q272" s="10" t="s">
        <v>542</v>
      </c>
      <c r="R272" s="10">
        <f t="shared" si="25"/>
        <v>0</v>
      </c>
      <c r="S272" s="10">
        <f>VLOOKUP(D272,A!A$1:AK$767,31,FALSE)</f>
        <v>25</v>
      </c>
      <c r="T272" s="10">
        <v>0.2</v>
      </c>
      <c r="U272" s="10">
        <f t="shared" si="26"/>
        <v>0</v>
      </c>
      <c r="X272" s="10"/>
    </row>
    <row r="273" spans="1:24" ht="11.25" hidden="1" customHeight="1" thickBot="1" x14ac:dyDescent="0.3">
      <c r="A273" s="1" t="str">
        <f>IF(R273=0,"",COUNTIF(A$23:A272,"&gt;0")+1)</f>
        <v/>
      </c>
      <c r="B273" s="151"/>
      <c r="C273" s="152" t="s">
        <v>51</v>
      </c>
      <c r="D273" s="153" t="s">
        <v>579</v>
      </c>
      <c r="E273" s="154"/>
      <c r="F273" s="154"/>
      <c r="G273" s="717" t="s">
        <v>580</v>
      </c>
      <c r="H273" s="155" t="s">
        <v>581</v>
      </c>
      <c r="I273" s="67">
        <f>VLOOKUP(D273,A!A$1:H$767,8,FALSE)</f>
        <v>2</v>
      </c>
      <c r="J273" s="156"/>
      <c r="K273" s="68">
        <f>IF(VLOOKUP(D273,A!A$1:H$767,4,FALSE)="y",1,0)</f>
        <v>0</v>
      </c>
      <c r="L273" s="68">
        <f>IF(VLOOKUP(D273,A!A$1:H$767,5,FALSE)="y",1,0)</f>
        <v>0</v>
      </c>
      <c r="M273" s="706"/>
      <c r="N273" s="150">
        <f>VLOOKUP(D273,A!A$1:H$767,6,FALSE)</f>
        <v>0</v>
      </c>
      <c r="O273" s="157" t="s">
        <v>65</v>
      </c>
      <c r="P273" s="10">
        <f>VLOOKUP(D273,A!A$1:G$767,2,FALSE)</f>
        <v>0</v>
      </c>
      <c r="Q273" s="10" t="s">
        <v>542</v>
      </c>
      <c r="R273" s="10">
        <f t="shared" si="25"/>
        <v>0</v>
      </c>
      <c r="S273" s="10">
        <f>VLOOKUP(D273,A!A$1:AK$767,31,FALSE)</f>
        <v>25</v>
      </c>
      <c r="T273" s="10">
        <v>0.2</v>
      </c>
      <c r="U273" s="10">
        <f t="shared" si="26"/>
        <v>0</v>
      </c>
      <c r="X273" s="10"/>
    </row>
    <row r="274" spans="1:24" x14ac:dyDescent="0.25">
      <c r="A274" s="1" t="str">
        <f>IF(R274=0,"",COUNTIF(A$23:A273,"&gt;0")+1)</f>
        <v/>
      </c>
      <c r="B274" s="145">
        <f>SUM(B256:B273)</f>
        <v>0</v>
      </c>
      <c r="C274" s="158" t="s">
        <v>51</v>
      </c>
      <c r="D274" s="159" t="s">
        <v>582</v>
      </c>
      <c r="E274" s="160"/>
      <c r="F274" s="160"/>
      <c r="G274" s="160"/>
      <c r="H274" s="160"/>
      <c r="I274" s="160"/>
      <c r="J274" s="160"/>
      <c r="K274" s="160"/>
      <c r="L274" s="160"/>
      <c r="M274" s="161"/>
      <c r="N274" s="160"/>
      <c r="O274" s="162"/>
      <c r="P274" s="117"/>
      <c r="Q274" s="10" t="s">
        <v>542</v>
      </c>
      <c r="R274" s="10">
        <f t="shared" si="25"/>
        <v>0</v>
      </c>
      <c r="S274" s="10"/>
      <c r="T274" s="10"/>
      <c r="U274" s="10"/>
      <c r="X274" s="10"/>
    </row>
    <row r="275" spans="1:24" ht="7.5" customHeight="1" thickBot="1" x14ac:dyDescent="0.3">
      <c r="A275" s="1" t="str">
        <f>IF(R275=0,"",COUNTIF(A$23:A274,"&gt;0")+1)</f>
        <v/>
      </c>
      <c r="P275" s="10"/>
      <c r="Q275" s="10"/>
      <c r="R275" s="10"/>
      <c r="S275" s="10"/>
      <c r="T275" s="10"/>
      <c r="U275" s="10"/>
      <c r="X275" s="10"/>
    </row>
    <row r="276" spans="1:24" ht="9" customHeight="1" thickBot="1" x14ac:dyDescent="0.3">
      <c r="A276" s="1" t="str">
        <f>IF(R276=0,"",COUNTIF(A$23:A275,"&gt;0")+1)</f>
        <v/>
      </c>
      <c r="B276" s="1231" t="s">
        <v>41</v>
      </c>
      <c r="C276" s="1231"/>
      <c r="D276" s="1230" t="s">
        <v>583</v>
      </c>
      <c r="E276" s="1230"/>
      <c r="F276" s="1230"/>
      <c r="G276" s="1230"/>
      <c r="H276" s="1181" t="s">
        <v>584</v>
      </c>
      <c r="I276" s="115" t="s">
        <v>585</v>
      </c>
      <c r="J276" s="115"/>
      <c r="K276" s="115"/>
      <c r="L276" s="115"/>
      <c r="M276" s="115"/>
      <c r="N276" s="115"/>
      <c r="O276" s="116"/>
      <c r="P276" s="10"/>
      <c r="Q276" s="10"/>
      <c r="R276" s="10"/>
      <c r="S276" s="10"/>
      <c r="T276" s="10"/>
      <c r="U276" s="10"/>
      <c r="X276" s="10"/>
    </row>
    <row r="277" spans="1:24" ht="9.75" customHeight="1" thickBot="1" x14ac:dyDescent="0.3">
      <c r="A277" s="1" t="str">
        <f>IF(R277=0,"",COUNTIF(A$23:A276,"&gt;0")+1)</f>
        <v/>
      </c>
      <c r="B277" s="1182" t="s">
        <v>586</v>
      </c>
      <c r="C277" s="1182"/>
      <c r="D277" s="1230"/>
      <c r="E277" s="1230"/>
      <c r="F277" s="1230"/>
      <c r="G277" s="1230"/>
      <c r="H277" s="1181"/>
      <c r="I277" s="118" t="s">
        <v>47</v>
      </c>
      <c r="J277" s="119"/>
      <c r="K277" s="119"/>
      <c r="L277" s="119"/>
      <c r="M277" s="118"/>
      <c r="N277" s="119"/>
      <c r="O277" s="157" t="s">
        <v>48</v>
      </c>
      <c r="P277" s="75" t="s">
        <v>49</v>
      </c>
      <c r="Q277" s="10"/>
      <c r="R277" s="10"/>
      <c r="S277" s="10"/>
      <c r="T277" s="10"/>
      <c r="U277" s="10"/>
      <c r="X277" s="10"/>
    </row>
    <row r="278" spans="1:24" ht="11.25" customHeight="1" x14ac:dyDescent="0.25">
      <c r="A278" s="1" t="str">
        <f>IF(R278=0,"",COUNTIF(A$23:A277,"&gt;0")+1)</f>
        <v/>
      </c>
      <c r="B278" s="163"/>
      <c r="C278" s="164" t="s">
        <v>587</v>
      </c>
      <c r="D278" s="165" t="s">
        <v>541</v>
      </c>
      <c r="E278" s="166"/>
      <c r="F278" s="166"/>
      <c r="G278" s="723" t="s">
        <v>53</v>
      </c>
      <c r="H278" s="168" t="s">
        <v>59</v>
      </c>
      <c r="I278" s="169"/>
      <c r="J278" s="534"/>
      <c r="K278" s="68">
        <f>IF(VLOOKUP(D278,A!A$1:O$767,11,FALSE)="y",1,0)</f>
        <v>1</v>
      </c>
      <c r="L278" s="68">
        <f>IF(VLOOKUP(D278,A!A$1:O$767,12,FALSE)="y",1,0)</f>
        <v>1</v>
      </c>
      <c r="M278" s="149" t="str">
        <f>IF(VLOOKUP(D278,A!A$1:O$767,10,FALSE)="y","NEW","")</f>
        <v/>
      </c>
      <c r="N278" s="150">
        <f>VLOOKUP(D278,A!A$1:O$767,13,FALSE)</f>
        <v>0</v>
      </c>
      <c r="O278" s="170" t="s">
        <v>65</v>
      </c>
      <c r="P278" s="10" t="str">
        <f>VLOOKUP(D278,A!A$1:O$767,9,FALSE)</f>
        <v>y</v>
      </c>
      <c r="Q278" s="10" t="s">
        <v>588</v>
      </c>
      <c r="R278" s="10">
        <f t="shared" ref="R278:R292" si="27">B278</f>
        <v>0</v>
      </c>
      <c r="S278" s="10">
        <f>VLOOKUP(D278,A!A$1:AK$767,32,FALSE)</f>
        <v>30</v>
      </c>
      <c r="T278" s="10">
        <v>0.125</v>
      </c>
      <c r="U278" s="10">
        <f t="shared" ref="U278:U291" si="28">T278*B278</f>
        <v>0</v>
      </c>
      <c r="X278" s="10"/>
    </row>
    <row r="279" spans="1:24" ht="11.25" hidden="1" customHeight="1" x14ac:dyDescent="0.25">
      <c r="A279" s="1" t="str">
        <f>IF(R279=0,"",COUNTIF(A$23:A278,"&gt;0")+1)</f>
        <v/>
      </c>
      <c r="B279" s="133"/>
      <c r="C279" s="63" t="s">
        <v>587</v>
      </c>
      <c r="D279" s="64" t="s">
        <v>544</v>
      </c>
      <c r="E279" s="65"/>
      <c r="F279" s="65"/>
      <c r="G279" s="97" t="s">
        <v>545</v>
      </c>
      <c r="H279" s="66" t="s">
        <v>546</v>
      </c>
      <c r="I279" s="67">
        <f>VLOOKUP(D279,A!A$1:O$767,15,FALSE)</f>
        <v>2</v>
      </c>
      <c r="J279" s="67" t="s">
        <v>63</v>
      </c>
      <c r="K279" s="68">
        <f>IF(VLOOKUP(D279,A!A$1:O$767,11,FALSE)="y",1,0)</f>
        <v>0</v>
      </c>
      <c r="L279" s="68">
        <f>IF(VLOOKUP(D279,A!A$1:O$767,12,FALSE)="y",1,0)</f>
        <v>0</v>
      </c>
      <c r="M279" s="149" t="str">
        <f>IF(VLOOKUP(D279,A!A$1:O$767,10,FALSE)="y","NEW","")</f>
        <v/>
      </c>
      <c r="N279" s="150">
        <f>VLOOKUP(D279,A!A$1:O$767,13,FALSE)</f>
        <v>0</v>
      </c>
      <c r="O279" s="132" t="s">
        <v>65</v>
      </c>
      <c r="P279" s="10">
        <f>VLOOKUP(D279,A!A$1:O$767,9,FALSE)</f>
        <v>0</v>
      </c>
      <c r="Q279" s="10" t="s">
        <v>588</v>
      </c>
      <c r="R279" s="10">
        <f t="shared" si="27"/>
        <v>0</v>
      </c>
      <c r="S279" s="10">
        <f>VLOOKUP(D279,A!A$1:AK$767,32,FALSE)</f>
        <v>30</v>
      </c>
      <c r="T279" s="10">
        <v>0.125</v>
      </c>
      <c r="U279" s="10">
        <f t="shared" si="28"/>
        <v>0</v>
      </c>
      <c r="X279" s="10"/>
    </row>
    <row r="280" spans="1:24" ht="12" hidden="1" customHeight="1" x14ac:dyDescent="0.25">
      <c r="A280" s="1" t="str">
        <f>IF(R280=0,"",COUNTIF(A$23:A279,"&gt;0")+1)</f>
        <v/>
      </c>
      <c r="B280" s="133"/>
      <c r="C280" s="63" t="s">
        <v>587</v>
      </c>
      <c r="D280" s="64" t="s">
        <v>547</v>
      </c>
      <c r="E280" s="65"/>
      <c r="F280" s="65"/>
      <c r="G280" s="97" t="s">
        <v>548</v>
      </c>
      <c r="H280" s="66" t="s">
        <v>549</v>
      </c>
      <c r="I280" s="67">
        <f>VLOOKUP(D280,A!A$1:O$767,15,FALSE)</f>
        <v>2</v>
      </c>
      <c r="J280" s="67" t="s">
        <v>63</v>
      </c>
      <c r="K280" s="68">
        <f>IF(VLOOKUP(D280,A!A$1:O$767,11,FALSE)="y",1,0)</f>
        <v>0</v>
      </c>
      <c r="L280" s="68">
        <f>IF(VLOOKUP(D280,A!A$1:O$767,12,FALSE)="y",1,0)</f>
        <v>0</v>
      </c>
      <c r="M280" s="706" t="str">
        <f>IF(VLOOKUP(D280,A!A$1:O$767,10,FALSE)="y","NEW","")</f>
        <v/>
      </c>
      <c r="N280" s="150">
        <f>VLOOKUP(D280,A!A$1:O$767,13,FALSE)</f>
        <v>0</v>
      </c>
      <c r="O280" s="132" t="s">
        <v>65</v>
      </c>
      <c r="P280" s="10">
        <f>VLOOKUP(D280,A!A$1:O$767,9,FALSE)</f>
        <v>0</v>
      </c>
      <c r="Q280" s="10" t="s">
        <v>588</v>
      </c>
      <c r="R280" s="10">
        <f t="shared" si="27"/>
        <v>0</v>
      </c>
      <c r="S280" s="10">
        <f>VLOOKUP(D280,A!A$1:AK$767,32,FALSE)</f>
        <v>30</v>
      </c>
      <c r="T280" s="10">
        <v>0.125</v>
      </c>
      <c r="U280" s="10">
        <f t="shared" si="28"/>
        <v>0</v>
      </c>
      <c r="X280" s="10"/>
    </row>
    <row r="281" spans="1:24" ht="12" hidden="1" customHeight="1" x14ac:dyDescent="0.25">
      <c r="A281" s="1" t="str">
        <f>IF(R281=0,"",COUNTIF(A$23:A280,"&gt;0")+1)</f>
        <v/>
      </c>
      <c r="B281" s="133"/>
      <c r="C281" s="63" t="s">
        <v>587</v>
      </c>
      <c r="D281" s="64" t="s">
        <v>550</v>
      </c>
      <c r="E281" s="65"/>
      <c r="F281" s="65"/>
      <c r="G281" s="97" t="s">
        <v>551</v>
      </c>
      <c r="H281" s="66" t="s">
        <v>552</v>
      </c>
      <c r="I281" s="67">
        <f>VLOOKUP(D281,A!A$1:O$767,15,FALSE)</f>
        <v>1</v>
      </c>
      <c r="J281" s="67" t="s">
        <v>63</v>
      </c>
      <c r="K281" s="68">
        <f>IF(VLOOKUP(D281,A!A$1:O$767,11,FALSE)="y",1,0)</f>
        <v>0</v>
      </c>
      <c r="L281" s="68">
        <f>IF(VLOOKUP(D281,A!A$1:O$767,12,FALSE)="y",1,0)</f>
        <v>0</v>
      </c>
      <c r="M281" s="706"/>
      <c r="N281" s="150">
        <f>VLOOKUP(D281,A!A$1:O$767,13,FALSE)</f>
        <v>0</v>
      </c>
      <c r="O281" s="132" t="s">
        <v>65</v>
      </c>
      <c r="P281" s="10">
        <f>VLOOKUP(D281,A!A$1:O$767,9,FALSE)</f>
        <v>0</v>
      </c>
      <c r="Q281" s="10" t="s">
        <v>588</v>
      </c>
      <c r="R281" s="10">
        <f t="shared" si="27"/>
        <v>0</v>
      </c>
      <c r="S281" s="10">
        <f>VLOOKUP(D281,A!A$1:AK$767,32,FALSE)</f>
        <v>30</v>
      </c>
      <c r="T281" s="10">
        <v>0.125</v>
      </c>
      <c r="U281" s="10">
        <f t="shared" si="28"/>
        <v>0</v>
      </c>
      <c r="X281" s="10"/>
    </row>
    <row r="282" spans="1:24" ht="12" customHeight="1" x14ac:dyDescent="0.25">
      <c r="A282" s="1" t="str">
        <f>IF(R282=0,"",COUNTIF(A$23:A281,"&gt;0")+1)</f>
        <v/>
      </c>
      <c r="B282" s="133"/>
      <c r="C282" s="63" t="s">
        <v>587</v>
      </c>
      <c r="D282" s="64" t="s">
        <v>553</v>
      </c>
      <c r="E282" s="65"/>
      <c r="F282" s="65"/>
      <c r="G282" s="97" t="s">
        <v>520</v>
      </c>
      <c r="H282" s="66" t="s">
        <v>554</v>
      </c>
      <c r="I282" s="67">
        <f>VLOOKUP(D282,A!A$1:O$767,15,FALSE)</f>
        <v>1</v>
      </c>
      <c r="J282" s="67" t="s">
        <v>63</v>
      </c>
      <c r="K282" s="68">
        <f>IF(VLOOKUP(D282,A!A$1:O$767,11,FALSE)="y",1,0)</f>
        <v>1</v>
      </c>
      <c r="L282" s="68">
        <f>IF(VLOOKUP(D282,A!A$1:O$767,12,FALSE)="y",1,0)</f>
        <v>1</v>
      </c>
      <c r="M282" s="706"/>
      <c r="N282" s="150">
        <f>VLOOKUP(D282,A!A$1:O$767,13,FALSE)</f>
        <v>0</v>
      </c>
      <c r="O282" s="132" t="s">
        <v>65</v>
      </c>
      <c r="P282" s="10" t="str">
        <f>VLOOKUP(D282,A!A$1:O$767,9,FALSE)</f>
        <v>y</v>
      </c>
      <c r="Q282" s="10" t="s">
        <v>588</v>
      </c>
      <c r="R282" s="10">
        <f t="shared" si="27"/>
        <v>0</v>
      </c>
      <c r="S282" s="10">
        <f>VLOOKUP(D282,A!A$1:AK$767,32,FALSE)</f>
        <v>30</v>
      </c>
      <c r="T282" s="10">
        <v>0.125</v>
      </c>
      <c r="U282" s="10">
        <f t="shared" si="28"/>
        <v>0</v>
      </c>
      <c r="X282" s="10"/>
    </row>
    <row r="283" spans="1:24" ht="11.25" hidden="1" customHeight="1" x14ac:dyDescent="0.25">
      <c r="A283" s="1" t="str">
        <f>IF(R283=0,"",COUNTIF(A$23:A282,"&gt;0")+1)</f>
        <v/>
      </c>
      <c r="B283" s="133"/>
      <c r="C283" s="63" t="s">
        <v>587</v>
      </c>
      <c r="D283" s="64" t="s">
        <v>555</v>
      </c>
      <c r="E283" s="65"/>
      <c r="F283" s="65"/>
      <c r="G283" s="97" t="s">
        <v>556</v>
      </c>
      <c r="H283" s="66" t="s">
        <v>557</v>
      </c>
      <c r="I283" s="67">
        <f>VLOOKUP(D283,A!A$1:O$767,15,FALSE)</f>
        <v>2</v>
      </c>
      <c r="J283" s="67"/>
      <c r="K283" s="68">
        <f>IF(VLOOKUP(D283,A!A$1:O$767,11,FALSE)="y",1,0)</f>
        <v>0</v>
      </c>
      <c r="L283" s="68">
        <f>IF(VLOOKUP(D283,A!A$1:O$767,12,FALSE)="y",1,0)</f>
        <v>0</v>
      </c>
      <c r="M283" s="706"/>
      <c r="N283" s="150">
        <f>VLOOKUP(D283,A!A$1:O$767,13,FALSE)</f>
        <v>0</v>
      </c>
      <c r="O283" s="132" t="s">
        <v>65</v>
      </c>
      <c r="P283" s="10">
        <f>VLOOKUP(D283,A!A$1:O$767,9,FALSE)</f>
        <v>0</v>
      </c>
      <c r="Q283" s="10" t="s">
        <v>588</v>
      </c>
      <c r="R283" s="10">
        <f t="shared" si="27"/>
        <v>0</v>
      </c>
      <c r="S283" s="10">
        <f>VLOOKUP(D283,A!A$1:AK$767,32,FALSE)</f>
        <v>30</v>
      </c>
      <c r="T283" s="10">
        <v>0.125</v>
      </c>
      <c r="U283" s="10">
        <f t="shared" si="28"/>
        <v>0</v>
      </c>
      <c r="X283" s="10"/>
    </row>
    <row r="284" spans="1:24" ht="11.25" hidden="1" customHeight="1" x14ac:dyDescent="0.25">
      <c r="A284" s="1" t="str">
        <f>IF(R284=0,"",COUNTIF(A$23:A283,"&gt;0")+1)</f>
        <v/>
      </c>
      <c r="B284" s="133"/>
      <c r="C284" s="63" t="s">
        <v>587</v>
      </c>
      <c r="D284" s="527" t="s">
        <v>558</v>
      </c>
      <c r="E284" s="65"/>
      <c r="F284" s="65"/>
      <c r="G284" s="97" t="s">
        <v>559</v>
      </c>
      <c r="H284" s="66" t="s">
        <v>560</v>
      </c>
      <c r="I284" s="67">
        <v>2</v>
      </c>
      <c r="J284" s="67"/>
      <c r="K284" s="68"/>
      <c r="L284" s="68"/>
      <c r="M284" s="706"/>
      <c r="N284" s="150"/>
      <c r="O284" s="132" t="s">
        <v>65</v>
      </c>
      <c r="P284" s="10">
        <f>VLOOKUP(D284,A!A$1:O$767,9,FALSE)</f>
        <v>0</v>
      </c>
      <c r="Q284" s="10" t="s">
        <v>588</v>
      </c>
      <c r="R284" s="10">
        <f>B284</f>
        <v>0</v>
      </c>
      <c r="S284" s="10">
        <f>VLOOKUP(D284,A!A$1:AK$767,32,FALSE)</f>
        <v>30</v>
      </c>
      <c r="T284" s="10">
        <v>0.125</v>
      </c>
      <c r="U284" s="10">
        <f>T284*B284</f>
        <v>0</v>
      </c>
      <c r="X284" s="10"/>
    </row>
    <row r="285" spans="1:24" ht="11.25" hidden="1" customHeight="1" x14ac:dyDescent="0.25">
      <c r="A285" s="1" t="str">
        <f>IF(R285=0,"",COUNTIF(A$23:A284,"&gt;0")+1)</f>
        <v/>
      </c>
      <c r="B285" s="737"/>
      <c r="C285" s="738" t="s">
        <v>587</v>
      </c>
      <c r="D285" s="64" t="s">
        <v>561</v>
      </c>
      <c r="E285" s="65"/>
      <c r="F285" s="65"/>
      <c r="G285" s="97" t="s">
        <v>562</v>
      </c>
      <c r="H285" s="66" t="s">
        <v>563</v>
      </c>
      <c r="I285" s="67">
        <f>VLOOKUP(D285,A!A$1:O$767,15,FALSE)</f>
        <v>1</v>
      </c>
      <c r="J285" s="67"/>
      <c r="K285" s="68">
        <f>IF(VLOOKUP(D285,A!A$1:O$767,11,FALSE)="y",1,0)</f>
        <v>0</v>
      </c>
      <c r="L285" s="68">
        <f>IF(VLOOKUP(D285,A!A$1:O$767,12,FALSE)="y",1,0)</f>
        <v>0</v>
      </c>
      <c r="M285" s="706"/>
      <c r="N285" s="150">
        <f>VLOOKUP(D285,A!A$1:O$767,13,FALSE)</f>
        <v>0</v>
      </c>
      <c r="O285" s="132" t="s">
        <v>65</v>
      </c>
      <c r="P285" s="10">
        <f>VLOOKUP(D285,A!A$1:O$767,9,FALSE)</f>
        <v>0</v>
      </c>
      <c r="Q285" s="10" t="s">
        <v>588</v>
      </c>
      <c r="R285" s="10">
        <f t="shared" si="27"/>
        <v>0</v>
      </c>
      <c r="S285" s="10">
        <f>VLOOKUP(D285,A!A$1:AK$767,32,FALSE)</f>
        <v>30</v>
      </c>
      <c r="T285" s="10">
        <v>0.125</v>
      </c>
      <c r="U285" s="10">
        <f t="shared" si="28"/>
        <v>0</v>
      </c>
      <c r="X285" s="10"/>
    </row>
    <row r="286" spans="1:24" ht="12" customHeight="1" x14ac:dyDescent="0.25">
      <c r="A286" s="1" t="str">
        <f>IF(R286=0,"",COUNTIF(A$23:A285,"&gt;0")+1)</f>
        <v/>
      </c>
      <c r="B286" s="764"/>
      <c r="C286" s="346" t="s">
        <v>587</v>
      </c>
      <c r="D286" s="602" t="s">
        <v>564</v>
      </c>
      <c r="E286" s="217"/>
      <c r="F286" s="217"/>
      <c r="G286" s="721" t="s">
        <v>565</v>
      </c>
      <c r="H286" s="579" t="s">
        <v>566</v>
      </c>
      <c r="I286" s="219">
        <f>VLOOKUP(D286,A!A$1:O$767,15,FALSE)</f>
        <v>2</v>
      </c>
      <c r="J286" s="219"/>
      <c r="K286" s="351">
        <f>IF(VLOOKUP(D286,A!A$1:O$767,11,FALSE)="y",1,0)</f>
        <v>1</v>
      </c>
      <c r="L286" s="351">
        <f>IF(VLOOKUP(D286,A!A$1:O$767,12,FALSE)="y",1,0)</f>
        <v>0</v>
      </c>
      <c r="M286" s="708"/>
      <c r="N286" s="528">
        <f>VLOOKUP(D286,A!A$1:O$767,13,FALSE)</f>
        <v>0</v>
      </c>
      <c r="O286" s="765" t="s">
        <v>65</v>
      </c>
      <c r="P286" s="10" t="str">
        <f>VLOOKUP(D286,A!A$1:O$767,9,FALSE)</f>
        <v>y</v>
      </c>
      <c r="Q286" s="10" t="s">
        <v>588</v>
      </c>
      <c r="R286" s="10">
        <f t="shared" si="27"/>
        <v>0</v>
      </c>
      <c r="S286" s="10">
        <f>VLOOKUP(D286,A!A$1:AK$767,32,FALSE)</f>
        <v>30</v>
      </c>
      <c r="T286" s="10">
        <v>0.125</v>
      </c>
      <c r="U286" s="10">
        <f t="shared" si="28"/>
        <v>0</v>
      </c>
      <c r="X286" s="10"/>
    </row>
    <row r="287" spans="1:24" ht="12" customHeight="1" x14ac:dyDescent="0.25">
      <c r="A287" s="1" t="str">
        <f>IF(R287=0,"",COUNTIF(A$23:A286,"&gt;0")+1)</f>
        <v/>
      </c>
      <c r="B287" s="766"/>
      <c r="C287" s="767" t="s">
        <v>587</v>
      </c>
      <c r="D287" s="693" t="s">
        <v>567</v>
      </c>
      <c r="E287" s="538"/>
      <c r="F287" s="538"/>
      <c r="G287" s="768" t="s">
        <v>568</v>
      </c>
      <c r="H287" s="769" t="s">
        <v>569</v>
      </c>
      <c r="I287" s="541">
        <v>2</v>
      </c>
      <c r="J287" s="541"/>
      <c r="K287" s="989">
        <v>5021353014617</v>
      </c>
      <c r="L287" s="351"/>
      <c r="M287" s="709"/>
      <c r="N287" s="541"/>
      <c r="O287" s="770" t="s">
        <v>65</v>
      </c>
      <c r="P287" s="10" t="str">
        <f>VLOOKUP(D287,A!A$1:O$767,9,FALSE)</f>
        <v>y</v>
      </c>
      <c r="Q287" s="10" t="s">
        <v>588</v>
      </c>
      <c r="R287" s="10">
        <f>B287</f>
        <v>0</v>
      </c>
      <c r="S287" s="10">
        <f>VLOOKUP(D287,A!A$1:AK$767,32,FALSE)</f>
        <v>30</v>
      </c>
      <c r="T287" s="10">
        <v>0.125</v>
      </c>
      <c r="U287" s="10">
        <f>T287*B287</f>
        <v>0</v>
      </c>
      <c r="X287" s="10"/>
    </row>
    <row r="288" spans="1:24" ht="11.25" hidden="1" customHeight="1" x14ac:dyDescent="0.25">
      <c r="A288" s="1" t="str">
        <f>IF(R288=0,"",COUNTIF(A$23:A287,"&gt;0")+1)</f>
        <v/>
      </c>
      <c r="B288" s="163"/>
      <c r="C288" s="164" t="s">
        <v>587</v>
      </c>
      <c r="D288" s="165" t="s">
        <v>571</v>
      </c>
      <c r="E288" s="166"/>
      <c r="F288" s="166"/>
      <c r="G288" s="723" t="s">
        <v>572</v>
      </c>
      <c r="H288" s="168" t="s">
        <v>573</v>
      </c>
      <c r="I288" s="150">
        <f>VLOOKUP(D288,A!A$1:O$767,15,FALSE)</f>
        <v>2</v>
      </c>
      <c r="J288" s="150"/>
      <c r="K288" s="378">
        <f>IF(VLOOKUP(D288,A!A$1:O$767,11,FALSE)="y",1,0)</f>
        <v>0</v>
      </c>
      <c r="L288" s="378">
        <f>IF(VLOOKUP(D288,A!A$1:O$767,12,FALSE)="y",1,0)</f>
        <v>0</v>
      </c>
      <c r="M288" s="706"/>
      <c r="N288" s="150">
        <f>VLOOKUP(D288,A!A$1:O$767,13,FALSE)</f>
        <v>0</v>
      </c>
      <c r="O288" s="170" t="s">
        <v>65</v>
      </c>
      <c r="P288" s="10">
        <f>VLOOKUP(D288,A!A$1:O$767,9,FALSE)</f>
        <v>0</v>
      </c>
      <c r="Q288" s="10" t="s">
        <v>588</v>
      </c>
      <c r="R288" s="10">
        <f t="shared" si="27"/>
        <v>0</v>
      </c>
      <c r="S288" s="10">
        <f>VLOOKUP(D288,A!A$1:AK$767,32,FALSE)</f>
        <v>30</v>
      </c>
      <c r="T288" s="10">
        <v>0.125</v>
      </c>
      <c r="U288" s="10">
        <f t="shared" si="28"/>
        <v>0</v>
      </c>
      <c r="X288" s="10"/>
    </row>
    <row r="289" spans="1:24" ht="10.9" hidden="1" customHeight="1" x14ac:dyDescent="0.25">
      <c r="A289" s="1" t="str">
        <f>IF(R289=0,"",COUNTIF(A$23:A288,"&gt;0")+1)</f>
        <v/>
      </c>
      <c r="B289" s="133"/>
      <c r="C289" s="63" t="s">
        <v>587</v>
      </c>
      <c r="D289" s="64" t="s">
        <v>574</v>
      </c>
      <c r="E289" s="65"/>
      <c r="F289" s="65"/>
      <c r="G289" s="97" t="s">
        <v>527</v>
      </c>
      <c r="H289" s="66" t="s">
        <v>575</v>
      </c>
      <c r="I289" s="67">
        <f>VLOOKUP(D289,A!A$1:O$767,15,FALSE)</f>
        <v>1</v>
      </c>
      <c r="J289" s="67"/>
      <c r="K289" s="68">
        <f>IF(VLOOKUP(D289,A!A$1:O$767,11,FALSE)="y",1,0)</f>
        <v>0</v>
      </c>
      <c r="L289" s="68">
        <f>IF(VLOOKUP(D289,A!A$1:O$767,12,FALSE)="y",1,0)</f>
        <v>0</v>
      </c>
      <c r="M289" s="706"/>
      <c r="N289" s="150">
        <f>VLOOKUP(D289,A!A$1:O$767,13,FALSE)</f>
        <v>0</v>
      </c>
      <c r="O289" s="132" t="s">
        <v>65</v>
      </c>
      <c r="P289" s="10">
        <f>VLOOKUP(D289,A!A$1:O$767,9,FALSE)</f>
        <v>0</v>
      </c>
      <c r="Q289" s="10" t="s">
        <v>588</v>
      </c>
      <c r="R289" s="10">
        <f t="shared" si="27"/>
        <v>0</v>
      </c>
      <c r="S289" s="10">
        <f>VLOOKUP(D289,A!A$1:AK$767,32,FALSE)</f>
        <v>30</v>
      </c>
      <c r="T289" s="10">
        <v>0.125</v>
      </c>
      <c r="U289" s="10">
        <f t="shared" si="28"/>
        <v>0</v>
      </c>
      <c r="X289" s="10"/>
    </row>
    <row r="290" spans="1:24" ht="12" customHeight="1" thickBot="1" x14ac:dyDescent="0.3">
      <c r="A290" s="1" t="str">
        <f>IF(R290=0,"",COUNTIF(A$23:A289,"&gt;0")+1)</f>
        <v/>
      </c>
      <c r="B290" s="133"/>
      <c r="C290" s="63" t="s">
        <v>587</v>
      </c>
      <c r="D290" s="64" t="s">
        <v>1471</v>
      </c>
      <c r="E290" s="65"/>
      <c r="F290" s="65"/>
      <c r="G290" s="97" t="s">
        <v>577</v>
      </c>
      <c r="H290" s="66" t="s">
        <v>578</v>
      </c>
      <c r="I290" s="67">
        <f>VLOOKUP(D290,A!A$1:O$767,15,FALSE)</f>
        <v>1</v>
      </c>
      <c r="J290" s="67"/>
      <c r="K290" s="68">
        <f>IF(VLOOKUP(D290,A!A$1:O$767,11,FALSE)="y",1,0)</f>
        <v>1</v>
      </c>
      <c r="L290" s="68">
        <f>IF(VLOOKUP(D290,A!A$1:O$767,12,FALSE)="y",1,0)</f>
        <v>1</v>
      </c>
      <c r="M290" s="706"/>
      <c r="N290" s="150">
        <f>VLOOKUP(D290,A!A$1:O$767,13,FALSE)</f>
        <v>0</v>
      </c>
      <c r="O290" s="132" t="s">
        <v>65</v>
      </c>
      <c r="P290" s="10" t="str">
        <f>VLOOKUP(D290,A!A$1:O$767,9,FALSE)</f>
        <v>y</v>
      </c>
      <c r="Q290" s="10" t="s">
        <v>588</v>
      </c>
      <c r="R290" s="10">
        <f t="shared" si="27"/>
        <v>0</v>
      </c>
      <c r="S290" s="10">
        <f>VLOOKUP(D290,A!A$1:AK$767,32,FALSE)</f>
        <v>30</v>
      </c>
      <c r="T290" s="10">
        <v>0.125</v>
      </c>
      <c r="U290" s="10">
        <f t="shared" si="28"/>
        <v>0</v>
      </c>
      <c r="X290" s="10"/>
    </row>
    <row r="291" spans="1:24" ht="11.25" hidden="1" customHeight="1" thickBot="1" x14ac:dyDescent="0.3">
      <c r="A291" s="1" t="str">
        <f>IF(R291=0,"",COUNTIF(A$23:A290,"&gt;0")+1)</f>
        <v/>
      </c>
      <c r="B291" s="135"/>
      <c r="C291" s="136" t="s">
        <v>587</v>
      </c>
      <c r="D291" s="137" t="s">
        <v>579</v>
      </c>
      <c r="E291" s="138"/>
      <c r="F291" s="138"/>
      <c r="G291" s="718" t="s">
        <v>580</v>
      </c>
      <c r="H291" s="140" t="s">
        <v>581</v>
      </c>
      <c r="I291" s="67">
        <f>VLOOKUP(D291,A!A$1:O$767,15,FALSE)</f>
        <v>2</v>
      </c>
      <c r="J291" s="141"/>
      <c r="K291" s="68">
        <f>IF(VLOOKUP(D291,A!A$1:O$767,11,FALSE)="y",1,0)</f>
        <v>0</v>
      </c>
      <c r="L291" s="68">
        <f>IF(VLOOKUP(D291,A!A$1:O$767,12,FALSE)="y",1,0)</f>
        <v>0</v>
      </c>
      <c r="M291" s="706" t="str">
        <f>IF(VLOOKUP(D291,A!A$1:O$767,10,FALSE)="y","NEW","")</f>
        <v/>
      </c>
      <c r="N291" s="150">
        <f>VLOOKUP(D291,A!A$1:O$767,13,FALSE)</f>
        <v>0</v>
      </c>
      <c r="O291" s="144" t="s">
        <v>65</v>
      </c>
      <c r="P291" s="10">
        <f>VLOOKUP(D291,A!A$1:O$767,9,FALSE)</f>
        <v>0</v>
      </c>
      <c r="Q291" s="10" t="s">
        <v>588</v>
      </c>
      <c r="R291" s="10">
        <f t="shared" si="27"/>
        <v>0</v>
      </c>
      <c r="S291" s="10">
        <f>VLOOKUP(D291,A!A$1:AK$767,32,FALSE)</f>
        <v>30</v>
      </c>
      <c r="T291" s="10">
        <v>0.125</v>
      </c>
      <c r="U291" s="10">
        <f t="shared" si="28"/>
        <v>0</v>
      </c>
      <c r="X291" s="10"/>
    </row>
    <row r="292" spans="1:24" x14ac:dyDescent="0.25">
      <c r="A292" s="1" t="str">
        <f>IF(R292=0,"",COUNTIF(A$23:A291,"&gt;0")+1)</f>
        <v/>
      </c>
      <c r="B292" s="145">
        <f>SUM(B278:B291)</f>
        <v>0</v>
      </c>
      <c r="C292" s="158" t="s">
        <v>587</v>
      </c>
      <c r="D292" s="159" t="s">
        <v>589</v>
      </c>
      <c r="E292" s="160"/>
      <c r="F292" s="160"/>
      <c r="G292" s="160"/>
      <c r="H292" s="160"/>
      <c r="I292" s="160"/>
      <c r="J292" s="160"/>
      <c r="K292" s="160"/>
      <c r="L292" s="160"/>
      <c r="M292" s="726"/>
      <c r="N292" s="160"/>
      <c r="O292" s="162"/>
      <c r="P292" s="117"/>
      <c r="Q292" s="10" t="s">
        <v>588</v>
      </c>
      <c r="R292" s="10">
        <f t="shared" si="27"/>
        <v>0</v>
      </c>
      <c r="S292" s="10"/>
      <c r="T292" s="10"/>
      <c r="U292" s="10"/>
      <c r="X292" s="10"/>
    </row>
    <row r="293" spans="1:24" ht="7.5" customHeight="1" thickBot="1" x14ac:dyDescent="0.3">
      <c r="A293" s="1" t="str">
        <f>IF(R293=0,"",COUNTIF(A$23:A292,"&gt;0")+1)</f>
        <v/>
      </c>
      <c r="P293" s="10"/>
      <c r="Q293" s="10"/>
      <c r="R293" s="10"/>
      <c r="S293" s="10"/>
      <c r="T293" s="10"/>
      <c r="U293" s="10"/>
      <c r="X293" s="10"/>
    </row>
    <row r="294" spans="1:24" ht="12" customHeight="1" thickBot="1" x14ac:dyDescent="0.3">
      <c r="A294" s="1" t="str">
        <f>IF(R294=0,"",COUNTIF(A$23:A293,"&gt;0")+1)</f>
        <v/>
      </c>
      <c r="B294" s="1183" t="s">
        <v>41</v>
      </c>
      <c r="C294" s="1184"/>
      <c r="D294" s="1185" t="s">
        <v>590</v>
      </c>
      <c r="E294" s="1185"/>
      <c r="F294" s="1185"/>
      <c r="G294" s="1185"/>
      <c r="H294" s="1187" t="s">
        <v>584</v>
      </c>
      <c r="I294" s="630" t="s">
        <v>591</v>
      </c>
      <c r="J294" s="630"/>
      <c r="K294" s="630"/>
      <c r="L294" s="630"/>
      <c r="M294" s="630"/>
      <c r="N294" s="630"/>
      <c r="O294" s="631"/>
      <c r="P294" s="12"/>
      <c r="Q294" s="10"/>
      <c r="R294" s="10"/>
      <c r="S294" s="10"/>
      <c r="T294" s="10"/>
      <c r="U294" s="10"/>
      <c r="X294" s="10"/>
    </row>
    <row r="295" spans="1:24" ht="12" customHeight="1" thickTop="1" thickBot="1" x14ac:dyDescent="0.3">
      <c r="A295" s="1" t="str">
        <f>IF(R295=0,"",COUNTIF(A$23:A294,"&gt;0")+1)</f>
        <v/>
      </c>
      <c r="B295" s="1189" t="s">
        <v>592</v>
      </c>
      <c r="C295" s="1190"/>
      <c r="D295" s="1186"/>
      <c r="E295" s="1186"/>
      <c r="F295" s="1186"/>
      <c r="G295" s="1186"/>
      <c r="H295" s="1188"/>
      <c r="I295" s="537" t="s">
        <v>47</v>
      </c>
      <c r="J295" s="533"/>
      <c r="K295" s="533"/>
      <c r="L295" s="533"/>
      <c r="M295" s="537"/>
      <c r="N295" s="533"/>
      <c r="O295" s="632" t="s">
        <v>48</v>
      </c>
      <c r="P295" s="12"/>
      <c r="Q295" s="10"/>
      <c r="R295" s="10"/>
      <c r="S295" s="10"/>
      <c r="T295" s="10"/>
      <c r="U295" s="10"/>
      <c r="X295" s="10"/>
    </row>
    <row r="296" spans="1:24" ht="11.25" customHeight="1" x14ac:dyDescent="0.25">
      <c r="A296" s="1" t="str">
        <f>IF(R296=0,"",COUNTIF(A$23:A295,"&gt;0")+1)</f>
        <v/>
      </c>
      <c r="B296" s="173"/>
      <c r="C296" s="174" t="s">
        <v>587</v>
      </c>
      <c r="D296" s="175" t="s">
        <v>58</v>
      </c>
      <c r="E296" s="176"/>
      <c r="F296" s="176"/>
      <c r="G296" s="719" t="s">
        <v>53</v>
      </c>
      <c r="H296" s="177" t="s">
        <v>59</v>
      </c>
      <c r="I296" s="178"/>
      <c r="J296" s="178"/>
      <c r="K296" s="179">
        <f>IF(VLOOKUP(D296,A!A$1:O$767,11,FALSE)="y",1,0)</f>
        <v>1</v>
      </c>
      <c r="L296" s="179">
        <f>IF(VLOOKUP(D296,A!A$1:O$767,12,FALSE)="y",1,0)</f>
        <v>0</v>
      </c>
      <c r="M296" s="180"/>
      <c r="N296" s="178">
        <f>VLOOKUP(D296,A!A$1:O$767,13,FALSE)</f>
        <v>0</v>
      </c>
      <c r="O296" s="181">
        <v>1</v>
      </c>
      <c r="P296" s="10" t="str">
        <f>VLOOKUP(D296,A!A$1:O$767,9,FALSE)</f>
        <v>Y</v>
      </c>
      <c r="Q296" s="10" t="s">
        <v>593</v>
      </c>
      <c r="R296" s="10">
        <f t="shared" ref="R296:R332" si="29">B296</f>
        <v>0</v>
      </c>
      <c r="S296" s="10">
        <f>VLOOKUP(D296,A!A$1:AK$767,32,FALSE)</f>
        <v>35</v>
      </c>
      <c r="T296" s="10">
        <v>0.125</v>
      </c>
      <c r="U296" s="10">
        <f t="shared" ref="U296:U332" si="30">T296*B296</f>
        <v>0</v>
      </c>
      <c r="X296" s="10"/>
    </row>
    <row r="297" spans="1:24" ht="11.25" customHeight="1" x14ac:dyDescent="0.25">
      <c r="A297" s="1" t="str">
        <f>IF(R297=0,"",COUNTIF(A$23:A296,"&gt;0")+1)</f>
        <v/>
      </c>
      <c r="B297" s="182"/>
      <c r="C297" s="63" t="s">
        <v>587</v>
      </c>
      <c r="D297" s="64" t="s">
        <v>594</v>
      </c>
      <c r="E297" s="65"/>
      <c r="F297" s="65"/>
      <c r="G297" s="97" t="s">
        <v>53</v>
      </c>
      <c r="H297" s="90" t="s">
        <v>59</v>
      </c>
      <c r="I297" s="67">
        <f>VLOOKUP(D297,A!A$1:O$767,15,FALSE)</f>
        <v>2</v>
      </c>
      <c r="J297" s="67"/>
      <c r="K297" s="68">
        <f>IF(VLOOKUP(D297,A!A$1:O$767,11,FALSE)="y",1,0)</f>
        <v>1</v>
      </c>
      <c r="L297" s="68">
        <f>IF(VLOOKUP(D297,A!A$1:O$767,12,FALSE)="y",1,0)</f>
        <v>0</v>
      </c>
      <c r="M297" s="92" t="str">
        <f>IF(VLOOKUP(D297,A!A$1:O$767,10,FALSE)="y","NEW","")</f>
        <v/>
      </c>
      <c r="N297" s="67">
        <f>VLOOKUP(D297,A!A$1:O$767,13,FALSE)</f>
        <v>0</v>
      </c>
      <c r="O297" s="183">
        <v>1</v>
      </c>
      <c r="P297" s="10" t="str">
        <f>VLOOKUP(D297,A!A$1:O$767,9,FALSE)</f>
        <v>Y</v>
      </c>
      <c r="Q297" s="10" t="s">
        <v>593</v>
      </c>
      <c r="R297" s="10">
        <f t="shared" si="29"/>
        <v>0</v>
      </c>
      <c r="S297" s="10">
        <f>VLOOKUP(D297,A!A$1:AK$767,32,FALSE)</f>
        <v>35</v>
      </c>
      <c r="T297" s="10">
        <v>0.125</v>
      </c>
      <c r="U297" s="10">
        <f t="shared" si="30"/>
        <v>0</v>
      </c>
      <c r="X297" s="10"/>
    </row>
    <row r="298" spans="1:24" ht="11.25" hidden="1" customHeight="1" x14ac:dyDescent="0.25">
      <c r="A298" s="1" t="str">
        <f>IF(R298=0,"",COUNTIF(A$23:A297,"&gt;0")+1)</f>
        <v/>
      </c>
      <c r="B298" s="182"/>
      <c r="C298" s="63" t="s">
        <v>587</v>
      </c>
      <c r="D298" s="64" t="s">
        <v>595</v>
      </c>
      <c r="E298" s="65"/>
      <c r="F298" s="65"/>
      <c r="G298" s="97" t="s">
        <v>596</v>
      </c>
      <c r="H298" s="66" t="s">
        <v>597</v>
      </c>
      <c r="I298" s="67">
        <f>VLOOKUP(D298,A!A$1:O$767,15,FALSE)</f>
        <v>2</v>
      </c>
      <c r="J298" s="67"/>
      <c r="K298" s="68">
        <f>IF(VLOOKUP(D298,A!A$1:O$767,11,FALSE)="y",1,0)</f>
        <v>0</v>
      </c>
      <c r="L298" s="68">
        <f>IF(VLOOKUP(D298,A!A$1:O$767,12,FALSE)="y",1,0)</f>
        <v>0</v>
      </c>
      <c r="M298" s="92" t="str">
        <f>IF(VLOOKUP(D298,A!A$1:O$767,10,FALSE)="y","NEW","")</f>
        <v/>
      </c>
      <c r="N298" s="67">
        <f>VLOOKUP(D298,A!A$1:O$767,13,FALSE)</f>
        <v>0</v>
      </c>
      <c r="O298" s="183">
        <v>1</v>
      </c>
      <c r="P298" s="10">
        <f>VLOOKUP(D298,A!A$1:O$767,9,FALSE)</f>
        <v>0</v>
      </c>
      <c r="Q298" s="10" t="s">
        <v>593</v>
      </c>
      <c r="R298" s="10">
        <f t="shared" si="29"/>
        <v>0</v>
      </c>
      <c r="S298" s="10" t="str">
        <f>VLOOKUP(D298,A!A$1:AK$767,32,FALSE)</f>
        <v/>
      </c>
      <c r="T298" s="10">
        <v>0.125</v>
      </c>
      <c r="U298" s="10">
        <f t="shared" si="30"/>
        <v>0</v>
      </c>
      <c r="X298" s="10"/>
    </row>
    <row r="299" spans="1:24" ht="11.25" customHeight="1" x14ac:dyDescent="0.25">
      <c r="A299" s="1" t="str">
        <f>IF(R299=0,"",COUNTIF(A$23:A298,"&gt;0")+1)</f>
        <v/>
      </c>
      <c r="B299" s="182"/>
      <c r="C299" s="63" t="s">
        <v>587</v>
      </c>
      <c r="D299" s="64" t="s">
        <v>598</v>
      </c>
      <c r="E299" s="65"/>
      <c r="F299" s="65"/>
      <c r="G299" s="97" t="s">
        <v>599</v>
      </c>
      <c r="H299" s="66" t="s">
        <v>600</v>
      </c>
      <c r="I299" s="67">
        <f>VLOOKUP(D299,A!A$1:O$767,15,FALSE)</f>
        <v>2</v>
      </c>
      <c r="J299" s="67"/>
      <c r="K299" s="68">
        <f>IF(VLOOKUP(D299,A!A$1:O$767,11,FALSE)="y",1,0)</f>
        <v>1</v>
      </c>
      <c r="L299" s="68">
        <f>IF(VLOOKUP(D299,A!A$1:O$767,12,FALSE)="y",1,0)</f>
        <v>0</v>
      </c>
      <c r="M299" s="711"/>
      <c r="N299" s="67">
        <f>VLOOKUP(D299,A!A$1:O$767,13,FALSE)</f>
        <v>0</v>
      </c>
      <c r="O299" s="183">
        <v>1</v>
      </c>
      <c r="P299" s="10" t="str">
        <f>VLOOKUP(D299,A!A$1:O$767,9,FALSE)</f>
        <v>y</v>
      </c>
      <c r="Q299" s="10" t="s">
        <v>593</v>
      </c>
      <c r="R299" s="10">
        <f t="shared" si="29"/>
        <v>0</v>
      </c>
      <c r="S299" s="10">
        <f>VLOOKUP(D299,A!A$1:AK$767,32,FALSE)</f>
        <v>25</v>
      </c>
      <c r="T299" s="10">
        <v>0.125</v>
      </c>
      <c r="U299" s="10">
        <f t="shared" si="30"/>
        <v>0</v>
      </c>
      <c r="X299" s="10"/>
    </row>
    <row r="300" spans="1:24" ht="11.25" hidden="1" customHeight="1" x14ac:dyDescent="0.25">
      <c r="A300" s="1" t="str">
        <f>IF(R300=0,"",COUNTIF(A$23:A299,"&gt;0")+1)</f>
        <v/>
      </c>
      <c r="B300" s="182"/>
      <c r="C300" s="63" t="s">
        <v>587</v>
      </c>
      <c r="D300" s="64" t="s">
        <v>601</v>
      </c>
      <c r="E300" s="65"/>
      <c r="F300" s="65"/>
      <c r="G300" s="97" t="s">
        <v>602</v>
      </c>
      <c r="H300" s="66" t="s">
        <v>603</v>
      </c>
      <c r="I300" s="67">
        <f>VLOOKUP(D300,A!A$1:O$767,15,FALSE)</f>
        <v>2</v>
      </c>
      <c r="J300" s="67"/>
      <c r="K300" s="68">
        <f>IF(VLOOKUP(D300,A!A$1:O$767,11,FALSE)="y",1,0)</f>
        <v>0</v>
      </c>
      <c r="L300" s="68">
        <f>IF(VLOOKUP(D300,A!A$1:O$767,12,FALSE)="y",1,0)</f>
        <v>0</v>
      </c>
      <c r="M300" s="711"/>
      <c r="N300" s="67">
        <f>VLOOKUP(D300,A!A$1:O$767,13,FALSE)</f>
        <v>0</v>
      </c>
      <c r="O300" s="183">
        <v>1</v>
      </c>
      <c r="P300" s="10">
        <f>VLOOKUP(D300,A!A$1:O$767,9,FALSE)</f>
        <v>0</v>
      </c>
      <c r="Q300" s="10" t="s">
        <v>593</v>
      </c>
      <c r="R300" s="10">
        <f t="shared" si="29"/>
        <v>0</v>
      </c>
      <c r="S300" s="10">
        <f>VLOOKUP(D300,A!A$1:AK$767,32,FALSE)</f>
        <v>35</v>
      </c>
      <c r="T300" s="10">
        <v>0.125</v>
      </c>
      <c r="U300" s="10">
        <f t="shared" si="30"/>
        <v>0</v>
      </c>
      <c r="X300" s="10"/>
    </row>
    <row r="301" spans="1:24" ht="11.25" hidden="1" customHeight="1" x14ac:dyDescent="0.25">
      <c r="A301" s="1" t="str">
        <f>IF(R301=0,"",COUNTIF(A$23:A300,"&gt;0")+1)</f>
        <v/>
      </c>
      <c r="B301" s="182"/>
      <c r="C301" s="63" t="s">
        <v>587</v>
      </c>
      <c r="D301" s="64" t="s">
        <v>604</v>
      </c>
      <c r="E301" s="65"/>
      <c r="F301" s="687" t="s">
        <v>1348</v>
      </c>
      <c r="G301" s="97" t="s">
        <v>602</v>
      </c>
      <c r="H301" s="66" t="s">
        <v>605</v>
      </c>
      <c r="I301" s="67">
        <f>VLOOKUP(D301,A!A$1:O$767,15,FALSE)</f>
        <v>2</v>
      </c>
      <c r="J301" s="67"/>
      <c r="K301" s="68">
        <f>IF(VLOOKUP(D301,A!A$1:O$767,11,FALSE)="y",1,0)</f>
        <v>0</v>
      </c>
      <c r="L301" s="68">
        <f>IF(VLOOKUP(D301,A!A$1:O$767,12,FALSE)="y",1,0)</f>
        <v>0</v>
      </c>
      <c r="M301" s="711"/>
      <c r="N301" s="67">
        <f>VLOOKUP(D301,A!A$1:O$767,13,FALSE)</f>
        <v>0</v>
      </c>
      <c r="O301" s="183">
        <v>1</v>
      </c>
      <c r="P301" s="10">
        <f>VLOOKUP(D301,A!A$1:O$767,9,FALSE)</f>
        <v>0</v>
      </c>
      <c r="Q301" s="10" t="s">
        <v>593</v>
      </c>
      <c r="R301" s="10">
        <f t="shared" si="29"/>
        <v>0</v>
      </c>
      <c r="S301" s="10">
        <f>VLOOKUP(D301,A!A$1:AK$767,32,FALSE)</f>
        <v>35</v>
      </c>
      <c r="T301" s="10">
        <v>0.125</v>
      </c>
      <c r="U301" s="10">
        <f t="shared" si="30"/>
        <v>0</v>
      </c>
      <c r="X301" s="10"/>
    </row>
    <row r="302" spans="1:24" ht="11.25" hidden="1" customHeight="1" x14ac:dyDescent="0.25">
      <c r="A302" s="1" t="str">
        <f>IF(R302=0,"",COUNTIF(A$23:A301,"&gt;0")+1)</f>
        <v/>
      </c>
      <c r="B302" s="182"/>
      <c r="C302" s="63" t="s">
        <v>587</v>
      </c>
      <c r="D302" s="64" t="s">
        <v>606</v>
      </c>
      <c r="E302" s="65"/>
      <c r="F302" s="65"/>
      <c r="G302" s="97" t="s">
        <v>602</v>
      </c>
      <c r="H302" s="66" t="s">
        <v>607</v>
      </c>
      <c r="I302" s="67">
        <f>VLOOKUP(D302,A!A$1:O$767,15,FALSE)</f>
        <v>2</v>
      </c>
      <c r="J302" s="67"/>
      <c r="K302" s="68">
        <f>IF(VLOOKUP(D302,A!A$1:O$767,11,FALSE)="y",1,0)</f>
        <v>0</v>
      </c>
      <c r="L302" s="68">
        <f>IF(VLOOKUP(D302,A!A$1:O$767,12,FALSE)="y",1,0)</f>
        <v>0</v>
      </c>
      <c r="M302" s="711"/>
      <c r="N302" s="67">
        <f>VLOOKUP(D302,A!A$1:O$767,13,FALSE)</f>
        <v>0</v>
      </c>
      <c r="O302" s="183">
        <v>1</v>
      </c>
      <c r="P302" s="10">
        <f>VLOOKUP(D302,A!A$1:O$767,9,FALSE)</f>
        <v>0</v>
      </c>
      <c r="Q302" s="10" t="s">
        <v>593</v>
      </c>
      <c r="R302" s="10">
        <f t="shared" si="29"/>
        <v>0</v>
      </c>
      <c r="S302" s="10">
        <f>VLOOKUP(D302,A!A$1:AK$767,32,FALSE)</f>
        <v>35</v>
      </c>
      <c r="T302" s="10">
        <v>0.125</v>
      </c>
      <c r="U302" s="10">
        <f t="shared" si="30"/>
        <v>0</v>
      </c>
      <c r="X302" s="10"/>
    </row>
    <row r="303" spans="1:24" ht="11.25" hidden="1" customHeight="1" x14ac:dyDescent="0.25">
      <c r="A303" s="1" t="str">
        <f>IF(R303=0,"",COUNTIF(A$23:A302,"&gt;0")+1)</f>
        <v/>
      </c>
      <c r="B303" s="182"/>
      <c r="C303" s="63" t="s">
        <v>587</v>
      </c>
      <c r="D303" s="64" t="s">
        <v>608</v>
      </c>
      <c r="E303" s="65"/>
      <c r="F303" s="65"/>
      <c r="G303" s="97" t="s">
        <v>602</v>
      </c>
      <c r="H303" s="66" t="s">
        <v>609</v>
      </c>
      <c r="I303" s="67">
        <f>VLOOKUP(D303,A!A$1:O$767,15,FALSE)</f>
        <v>2</v>
      </c>
      <c r="J303" s="67"/>
      <c r="K303" s="68">
        <f>IF(VLOOKUP(D303,A!A$1:O$767,11,FALSE)="y",1,0)</f>
        <v>0</v>
      </c>
      <c r="L303" s="68">
        <f>IF(VLOOKUP(D303,A!A$1:O$767,12,FALSE)="y",1,0)</f>
        <v>0</v>
      </c>
      <c r="M303" s="711"/>
      <c r="N303" s="67">
        <f>VLOOKUP(D303,A!A$1:O$767,13,FALSE)</f>
        <v>0</v>
      </c>
      <c r="O303" s="183">
        <v>1</v>
      </c>
      <c r="P303" s="10">
        <f>VLOOKUP(D303,A!A$1:O$767,9,FALSE)</f>
        <v>0</v>
      </c>
      <c r="Q303" s="10" t="s">
        <v>593</v>
      </c>
      <c r="R303" s="10">
        <f t="shared" si="29"/>
        <v>0</v>
      </c>
      <c r="S303" s="10">
        <f>VLOOKUP(D303,A!A$1:AK$767,32,FALSE)</f>
        <v>35</v>
      </c>
      <c r="T303" s="10">
        <v>0.125</v>
      </c>
      <c r="U303" s="10">
        <f t="shared" si="30"/>
        <v>0</v>
      </c>
      <c r="X303" s="10"/>
    </row>
    <row r="304" spans="1:24" ht="11.25" hidden="1" customHeight="1" x14ac:dyDescent="0.25">
      <c r="A304" s="1" t="str">
        <f>IF(R304=0,"",COUNTIF(A$23:A303,"&gt;0")+1)</f>
        <v/>
      </c>
      <c r="B304" s="182"/>
      <c r="C304" s="63" t="s">
        <v>587</v>
      </c>
      <c r="D304" s="64" t="s">
        <v>610</v>
      </c>
      <c r="E304" s="65"/>
      <c r="F304" s="65"/>
      <c r="G304" s="97" t="s">
        <v>602</v>
      </c>
      <c r="H304" s="66" t="s">
        <v>611</v>
      </c>
      <c r="I304" s="67">
        <f>VLOOKUP(D304,A!A$1:O$767,15,FALSE)</f>
        <v>2</v>
      </c>
      <c r="J304" s="67"/>
      <c r="K304" s="68">
        <f>IF(VLOOKUP(D304,A!A$1:O$767,11,FALSE)="y",1,0)</f>
        <v>0</v>
      </c>
      <c r="L304" s="68">
        <f>IF(VLOOKUP(D304,A!A$1:O$767,12,FALSE)="y",1,0)</f>
        <v>0</v>
      </c>
      <c r="M304" s="711"/>
      <c r="N304" s="67">
        <f>VLOOKUP(D304,A!A$1:O$767,13,FALSE)</f>
        <v>0</v>
      </c>
      <c r="O304" s="183">
        <v>1</v>
      </c>
      <c r="P304" s="10">
        <f>VLOOKUP(D304,A!A$1:O$767,9,FALSE)</f>
        <v>0</v>
      </c>
      <c r="Q304" s="10" t="s">
        <v>593</v>
      </c>
      <c r="R304" s="10">
        <f t="shared" si="29"/>
        <v>0</v>
      </c>
      <c r="S304" s="10">
        <f>VLOOKUP(D304,A!A$1:AK$767,32,FALSE)</f>
        <v>35</v>
      </c>
      <c r="T304" s="10">
        <v>0.125</v>
      </c>
      <c r="U304" s="10">
        <f t="shared" si="30"/>
        <v>0</v>
      </c>
      <c r="X304" s="10"/>
    </row>
    <row r="305" spans="1:24" ht="11.25" hidden="1" customHeight="1" x14ac:dyDescent="0.25">
      <c r="A305" s="1" t="str">
        <f>IF(R305=0,"",COUNTIF(A$23:A304,"&gt;0")+1)</f>
        <v/>
      </c>
      <c r="B305" s="182"/>
      <c r="C305" s="63" t="s">
        <v>587</v>
      </c>
      <c r="D305" s="64" t="s">
        <v>612</v>
      </c>
      <c r="E305" s="65"/>
      <c r="F305" s="65"/>
      <c r="G305" s="97" t="s">
        <v>602</v>
      </c>
      <c r="H305" s="66" t="s">
        <v>613</v>
      </c>
      <c r="I305" s="67">
        <f>VLOOKUP(D305,A!A$1:O$767,15,FALSE)</f>
        <v>2</v>
      </c>
      <c r="J305" s="67"/>
      <c r="K305" s="68">
        <f>IF(VLOOKUP(D305,A!A$1:O$767,11,FALSE)="y",1,0)</f>
        <v>0</v>
      </c>
      <c r="L305" s="68">
        <f>IF(VLOOKUP(D305,A!A$1:O$767,12,FALSE)="y",1,0)</f>
        <v>0</v>
      </c>
      <c r="M305" s="711"/>
      <c r="N305" s="67">
        <f>VLOOKUP(D305,A!A$1:O$767,13,FALSE)</f>
        <v>0</v>
      </c>
      <c r="O305" s="183">
        <v>1</v>
      </c>
      <c r="P305" s="10">
        <f>VLOOKUP(D305,A!A$1:O$767,9,FALSE)</f>
        <v>0</v>
      </c>
      <c r="Q305" s="10" t="s">
        <v>593</v>
      </c>
      <c r="R305" s="10">
        <f t="shared" si="29"/>
        <v>0</v>
      </c>
      <c r="S305" s="10">
        <f>VLOOKUP(D305,A!A$1:AK$767,32,FALSE)</f>
        <v>35</v>
      </c>
      <c r="T305" s="10">
        <v>0.125</v>
      </c>
      <c r="U305" s="10">
        <f t="shared" si="30"/>
        <v>0</v>
      </c>
      <c r="X305" s="10"/>
    </row>
    <row r="306" spans="1:24" ht="11.25" hidden="1" customHeight="1" x14ac:dyDescent="0.25">
      <c r="A306" s="1" t="str">
        <f>IF(R306=0,"",COUNTIF(A$23:A305,"&gt;0")+1)</f>
        <v/>
      </c>
      <c r="B306" s="182"/>
      <c r="C306" s="63" t="s">
        <v>587</v>
      </c>
      <c r="D306" s="64" t="s">
        <v>614</v>
      </c>
      <c r="E306" s="65"/>
      <c r="F306" s="689" t="s">
        <v>1350</v>
      </c>
      <c r="G306" s="97" t="s">
        <v>602</v>
      </c>
      <c r="H306" s="66" t="s">
        <v>615</v>
      </c>
      <c r="I306" s="67">
        <f>VLOOKUP(D306,A!A$1:O$767,15,FALSE)</f>
        <v>2</v>
      </c>
      <c r="J306" s="67"/>
      <c r="K306" s="68">
        <f>IF(VLOOKUP(D306,A!A$1:O$767,11,FALSE)="y",1,0)</f>
        <v>0</v>
      </c>
      <c r="L306" s="68">
        <f>IF(VLOOKUP(D306,A!A$1:O$767,12,FALSE)="y",1,0)</f>
        <v>0</v>
      </c>
      <c r="M306" s="711"/>
      <c r="N306" s="67">
        <f>VLOOKUP(D306,A!A$1:O$767,13,FALSE)</f>
        <v>0</v>
      </c>
      <c r="O306" s="183">
        <v>1</v>
      </c>
      <c r="P306" s="10">
        <f>VLOOKUP(D306,A!A$1:O$767,9,FALSE)</f>
        <v>0</v>
      </c>
      <c r="Q306" s="10" t="s">
        <v>593</v>
      </c>
      <c r="R306" s="10">
        <f t="shared" si="29"/>
        <v>0</v>
      </c>
      <c r="S306" s="10">
        <f>VLOOKUP(D306,A!A$1:AK$767,32,FALSE)</f>
        <v>35</v>
      </c>
      <c r="T306" s="10">
        <v>0.125</v>
      </c>
      <c r="U306" s="10">
        <f t="shared" si="30"/>
        <v>0</v>
      </c>
      <c r="X306" s="10"/>
    </row>
    <row r="307" spans="1:24" ht="11.25" hidden="1" customHeight="1" x14ac:dyDescent="0.25">
      <c r="A307" s="1" t="str">
        <f>IF(R307=0,"",COUNTIF(A$23:A306,"&gt;0")+1)</f>
        <v/>
      </c>
      <c r="B307" s="182"/>
      <c r="C307" s="63" t="s">
        <v>587</v>
      </c>
      <c r="D307" s="64" t="s">
        <v>616</v>
      </c>
      <c r="E307" s="65"/>
      <c r="F307" s="208" t="s">
        <v>1347</v>
      </c>
      <c r="G307" s="97" t="s">
        <v>602</v>
      </c>
      <c r="H307" s="66" t="s">
        <v>617</v>
      </c>
      <c r="I307" s="67">
        <f>VLOOKUP(D307,A!A$1:O$767,15,FALSE)</f>
        <v>2</v>
      </c>
      <c r="J307" s="67"/>
      <c r="K307" s="68">
        <f>IF(VLOOKUP(D307,A!A$1:O$767,11,FALSE)="y",1,0)</f>
        <v>0</v>
      </c>
      <c r="L307" s="68">
        <f>IF(VLOOKUP(D307,A!A$1:O$767,12,FALSE)="y",1,0)</f>
        <v>0</v>
      </c>
      <c r="M307" s="711"/>
      <c r="N307" s="67">
        <f>VLOOKUP(D307,A!A$1:O$767,13,FALSE)</f>
        <v>0</v>
      </c>
      <c r="O307" s="183">
        <v>1</v>
      </c>
      <c r="P307" s="10">
        <f>VLOOKUP(D307,A!A$1:O$767,9,FALSE)</f>
        <v>0</v>
      </c>
      <c r="Q307" s="10" t="s">
        <v>593</v>
      </c>
      <c r="R307" s="10">
        <f t="shared" si="29"/>
        <v>0</v>
      </c>
      <c r="S307" s="10">
        <f>VLOOKUP(D307,A!A$1:AK$767,32,FALSE)</f>
        <v>35</v>
      </c>
      <c r="T307" s="10">
        <v>0.125</v>
      </c>
      <c r="U307" s="10">
        <f t="shared" si="30"/>
        <v>0</v>
      </c>
      <c r="X307" s="10"/>
    </row>
    <row r="308" spans="1:24" ht="11.25" hidden="1" customHeight="1" x14ac:dyDescent="0.25">
      <c r="A308" s="1" t="str">
        <f>IF(R308=0,"",COUNTIF(A$23:A307,"&gt;0")+1)</f>
        <v/>
      </c>
      <c r="B308" s="182"/>
      <c r="C308" s="63" t="s">
        <v>587</v>
      </c>
      <c r="D308" s="64" t="s">
        <v>618</v>
      </c>
      <c r="E308" s="65"/>
      <c r="F308" s="65"/>
      <c r="G308" s="97" t="s">
        <v>619</v>
      </c>
      <c r="H308" s="66" t="s">
        <v>620</v>
      </c>
      <c r="I308" s="67">
        <f>VLOOKUP(D308,A!A$1:O$767,15,FALSE)</f>
        <v>1</v>
      </c>
      <c r="J308" s="67"/>
      <c r="K308" s="68">
        <f>IF(VLOOKUP(D308,A!A$1:O$767,11,FALSE)="y",1,0)</f>
        <v>0</v>
      </c>
      <c r="L308" s="68">
        <f>IF(VLOOKUP(D308,A!A$1:O$767,12,FALSE)="y",1,0)</f>
        <v>0</v>
      </c>
      <c r="M308" s="711"/>
      <c r="N308" s="67">
        <f>VLOOKUP(D308,A!A$1:O$767,13,FALSE)</f>
        <v>0</v>
      </c>
      <c r="O308" s="183">
        <v>1</v>
      </c>
      <c r="P308" s="10">
        <f>VLOOKUP(D308,A!A$1:O$767,9,FALSE)</f>
        <v>0</v>
      </c>
      <c r="Q308" s="10" t="s">
        <v>593</v>
      </c>
      <c r="R308" s="10">
        <f t="shared" si="29"/>
        <v>0</v>
      </c>
      <c r="S308" s="10" t="str">
        <f>VLOOKUP(D308,A!A$1:AK$767,32,FALSE)</f>
        <v/>
      </c>
      <c r="T308" s="10">
        <v>0.125</v>
      </c>
      <c r="U308" s="10">
        <f t="shared" si="30"/>
        <v>0</v>
      </c>
      <c r="X308" s="10"/>
    </row>
    <row r="309" spans="1:24" ht="11.25" hidden="1" customHeight="1" x14ac:dyDescent="0.25">
      <c r="A309" s="1" t="str">
        <f>IF(R309=0,"",COUNTIF(A$23:A308,"&gt;0")+1)</f>
        <v/>
      </c>
      <c r="B309" s="182"/>
      <c r="C309" s="63" t="s">
        <v>587</v>
      </c>
      <c r="D309" s="64" t="s">
        <v>621</v>
      </c>
      <c r="E309" s="65"/>
      <c r="F309" s="65"/>
      <c r="G309" s="97" t="s">
        <v>622</v>
      </c>
      <c r="H309" s="66" t="s">
        <v>623</v>
      </c>
      <c r="I309" s="67">
        <f>VLOOKUP(D309,A!A$1:O$767,15,FALSE)</f>
        <v>1</v>
      </c>
      <c r="J309" s="67"/>
      <c r="K309" s="68">
        <f>IF(VLOOKUP(D309,A!A$1:O$767,11,FALSE)="y",1,0)</f>
        <v>0</v>
      </c>
      <c r="L309" s="68">
        <f>IF(VLOOKUP(D309,A!A$1:O$767,12,FALSE)="y",1,0)</f>
        <v>0</v>
      </c>
      <c r="M309" s="711"/>
      <c r="N309" s="67">
        <f>VLOOKUP(D309,A!A$1:O$767,13,FALSE)</f>
        <v>0</v>
      </c>
      <c r="O309" s="183">
        <v>1</v>
      </c>
      <c r="P309" s="10">
        <f>VLOOKUP(D309,A!A$1:O$767,9,FALSE)</f>
        <v>0</v>
      </c>
      <c r="Q309" s="10" t="s">
        <v>593</v>
      </c>
      <c r="R309" s="10">
        <f t="shared" si="29"/>
        <v>0</v>
      </c>
      <c r="S309" s="10" t="str">
        <f>VLOOKUP(D309,A!A$1:AK$767,32,FALSE)</f>
        <v/>
      </c>
      <c r="T309" s="10">
        <v>0.125</v>
      </c>
      <c r="U309" s="10">
        <f t="shared" si="30"/>
        <v>0</v>
      </c>
      <c r="X309" s="10"/>
    </row>
    <row r="310" spans="1:24" ht="11.25" hidden="1" customHeight="1" x14ac:dyDescent="0.25">
      <c r="A310" s="1" t="str">
        <f>IF(R310=0,"",COUNTIF(A$23:A309,"&gt;0")+1)</f>
        <v/>
      </c>
      <c r="B310" s="182"/>
      <c r="C310" s="63" t="s">
        <v>587</v>
      </c>
      <c r="D310" s="64" t="s">
        <v>624</v>
      </c>
      <c r="E310" s="65"/>
      <c r="F310" s="65"/>
      <c r="G310" s="97" t="s">
        <v>625</v>
      </c>
      <c r="H310" s="66" t="s">
        <v>626</v>
      </c>
      <c r="I310" s="67">
        <f>VLOOKUP(D310,A!A$1:O$767,15,FALSE)</f>
        <v>1</v>
      </c>
      <c r="J310" s="67"/>
      <c r="K310" s="68">
        <f>IF(VLOOKUP(D310,A!A$1:O$767,11,FALSE)="y",1,0)</f>
        <v>0</v>
      </c>
      <c r="L310" s="68">
        <f>IF(VLOOKUP(D310,A!A$1:O$767,12,FALSE)="y",1,0)</f>
        <v>0</v>
      </c>
      <c r="M310" s="711"/>
      <c r="N310" s="67">
        <f>VLOOKUP(D310,A!A$1:O$767,13,FALSE)</f>
        <v>0</v>
      </c>
      <c r="O310" s="183">
        <v>1</v>
      </c>
      <c r="P310" s="10">
        <f>VLOOKUP(D310,A!A$1:O$767,9,FALSE)</f>
        <v>0</v>
      </c>
      <c r="Q310" s="10" t="s">
        <v>593</v>
      </c>
      <c r="R310" s="10">
        <f t="shared" si="29"/>
        <v>0</v>
      </c>
      <c r="S310" s="10" t="str">
        <f>VLOOKUP(D310,A!A$1:AK$767,32,FALSE)</f>
        <v/>
      </c>
      <c r="T310" s="10">
        <v>0.125</v>
      </c>
      <c r="U310" s="10">
        <f t="shared" si="30"/>
        <v>0</v>
      </c>
      <c r="X310" s="10"/>
    </row>
    <row r="311" spans="1:24" ht="11.25" customHeight="1" x14ac:dyDescent="0.25">
      <c r="A311" s="1" t="str">
        <f>IF(R311=0,"",COUNTIF(A$23:A310,"&gt;0")+1)</f>
        <v/>
      </c>
      <c r="B311" s="182"/>
      <c r="C311" s="63" t="s">
        <v>587</v>
      </c>
      <c r="D311" s="64" t="s">
        <v>101</v>
      </c>
      <c r="E311" s="65"/>
      <c r="F311" s="65"/>
      <c r="G311" s="97" t="s">
        <v>102</v>
      </c>
      <c r="H311" s="66" t="s">
        <v>627</v>
      </c>
      <c r="I311" s="67">
        <f>VLOOKUP(D311,A!A$1:O$767,15,FALSE)</f>
        <v>2</v>
      </c>
      <c r="J311" s="67"/>
      <c r="K311" s="68">
        <f>IF(VLOOKUP(D311,A!A$1:O$767,11,FALSE)="y",1,0)</f>
        <v>1</v>
      </c>
      <c r="L311" s="68">
        <f>IF(VLOOKUP(D311,A!A$1:O$767,12,FALSE)="y",1,0)</f>
        <v>0</v>
      </c>
      <c r="M311" s="711"/>
      <c r="N311" s="67">
        <f>VLOOKUP(D311,A!A$1:O$767,13,FALSE)</f>
        <v>0</v>
      </c>
      <c r="O311" s="183">
        <v>1</v>
      </c>
      <c r="P311" s="10" t="str">
        <f>VLOOKUP(D311,A!A$1:O$767,9,FALSE)</f>
        <v>y</v>
      </c>
      <c r="Q311" s="10" t="s">
        <v>593</v>
      </c>
      <c r="R311" s="10">
        <f t="shared" si="29"/>
        <v>0</v>
      </c>
      <c r="S311" s="10">
        <f>VLOOKUP(D311,A!A$1:AK$767,32,FALSE)</f>
        <v>25</v>
      </c>
      <c r="T311" s="10">
        <v>0.125</v>
      </c>
      <c r="U311" s="10">
        <f t="shared" si="30"/>
        <v>0</v>
      </c>
      <c r="X311" s="10"/>
    </row>
    <row r="312" spans="1:24" ht="11.25" customHeight="1" x14ac:dyDescent="0.25">
      <c r="A312" s="1" t="str">
        <f>IF(R312=0,"",COUNTIF(A$23:A311,"&gt;0")+1)</f>
        <v/>
      </c>
      <c r="B312" s="182"/>
      <c r="C312" s="63" t="s">
        <v>587</v>
      </c>
      <c r="D312" s="64" t="s">
        <v>1411</v>
      </c>
      <c r="E312" s="65"/>
      <c r="F312" s="65"/>
      <c r="G312" s="97" t="s">
        <v>122</v>
      </c>
      <c r="H312" s="66" t="s">
        <v>628</v>
      </c>
      <c r="I312" s="67">
        <f>VLOOKUP(D312,A!A$1:O$767,15,FALSE)</f>
        <v>1</v>
      </c>
      <c r="J312" s="67"/>
      <c r="K312" s="68">
        <f>IF(VLOOKUP(D312,A!A$1:O$767,11,FALSE)="y",1,0)</f>
        <v>1</v>
      </c>
      <c r="L312" s="68">
        <f>IF(VLOOKUP(D312,A!A$1:O$767,12,FALSE)="y",1,0)</f>
        <v>1</v>
      </c>
      <c r="M312" s="711" t="s">
        <v>726</v>
      </c>
      <c r="N312" s="67"/>
      <c r="O312" s="183">
        <v>1</v>
      </c>
      <c r="P312" s="10" t="str">
        <f>VLOOKUP(D312,A!A$1:O$767,9,FALSE)</f>
        <v>y</v>
      </c>
      <c r="Q312" s="10" t="s">
        <v>593</v>
      </c>
      <c r="R312" s="10">
        <f t="shared" si="29"/>
        <v>0</v>
      </c>
      <c r="S312" s="10">
        <v>55</v>
      </c>
      <c r="T312" s="10">
        <v>0.125</v>
      </c>
      <c r="U312" s="10">
        <f t="shared" si="30"/>
        <v>0</v>
      </c>
      <c r="X312" s="10"/>
    </row>
    <row r="313" spans="1:24" ht="11.25" customHeight="1" x14ac:dyDescent="0.25">
      <c r="A313" s="1" t="str">
        <f>IF(R313=0,"",COUNTIF(A$23:A312,"&gt;0")+1)</f>
        <v/>
      </c>
      <c r="B313" s="182">
        <f>SUM(B312)</f>
        <v>0</v>
      </c>
      <c r="C313" s="63" t="s">
        <v>587</v>
      </c>
      <c r="D313" s="981" t="s">
        <v>1446</v>
      </c>
      <c r="E313" s="65"/>
      <c r="F313" s="65"/>
      <c r="G313" s="97" t="s">
        <v>122</v>
      </c>
      <c r="H313" s="66" t="s">
        <v>628</v>
      </c>
      <c r="I313" s="67">
        <v>1</v>
      </c>
      <c r="J313" s="67"/>
      <c r="K313" s="989">
        <v>5021353014617</v>
      </c>
      <c r="L313" s="989">
        <v>5021353014617</v>
      </c>
      <c r="M313" s="711" t="s">
        <v>726</v>
      </c>
      <c r="N313" s="67"/>
      <c r="O313" s="183">
        <v>1</v>
      </c>
      <c r="P313" s="10" t="s">
        <v>56</v>
      </c>
      <c r="Q313" s="10" t="s">
        <v>593</v>
      </c>
      <c r="R313" s="10">
        <f t="shared" ref="R313" si="31">B313</f>
        <v>0</v>
      </c>
      <c r="S313" s="10">
        <v>55</v>
      </c>
      <c r="T313" s="10">
        <v>0.125</v>
      </c>
      <c r="U313" s="10">
        <f t="shared" ref="U313" si="32">T313*B313</f>
        <v>0</v>
      </c>
      <c r="X313" s="10"/>
    </row>
    <row r="314" spans="1:24" ht="11.25" hidden="1" customHeight="1" x14ac:dyDescent="0.25">
      <c r="A314" s="1" t="str">
        <f>IF(R314=0,"",COUNTIF(A$23:A313,"&gt;0")+1)</f>
        <v/>
      </c>
      <c r="B314" s="182"/>
      <c r="C314" s="63" t="s">
        <v>587</v>
      </c>
      <c r="D314" s="165" t="s">
        <v>629</v>
      </c>
      <c r="E314" s="65"/>
      <c r="F314" s="65"/>
      <c r="G314" s="97" t="s">
        <v>122</v>
      </c>
      <c r="H314" s="66" t="s">
        <v>628</v>
      </c>
      <c r="I314" s="67">
        <f>VLOOKUP(D314,A!A$1:O$767,15,FALSE)</f>
        <v>1</v>
      </c>
      <c r="J314" s="67"/>
      <c r="K314" s="68">
        <f>IF(VLOOKUP(D314,A!A$1:O$767,11,FALSE)="y",1,0)</f>
        <v>0</v>
      </c>
      <c r="L314" s="68">
        <f>IF(VLOOKUP(D314,A!A$1:O$767,12,FALSE)="y",1,0)</f>
        <v>0</v>
      </c>
      <c r="M314" s="711"/>
      <c r="N314" s="67">
        <f>VLOOKUP(D314,A!A$1:O$767,13,FALSE)</f>
        <v>0</v>
      </c>
      <c r="O314" s="183">
        <v>1</v>
      </c>
      <c r="P314" s="10">
        <f>VLOOKUP(D314,A!A$1:O$767,9,FALSE)</f>
        <v>0</v>
      </c>
      <c r="Q314" s="10" t="s">
        <v>593</v>
      </c>
      <c r="R314" s="10">
        <f t="shared" si="29"/>
        <v>0</v>
      </c>
      <c r="S314" s="10" t="str">
        <f>VLOOKUP(D314,A!A$1:AK$767,32,FALSE)</f>
        <v/>
      </c>
      <c r="T314" s="10">
        <v>0.125</v>
      </c>
      <c r="U314" s="10">
        <f t="shared" si="30"/>
        <v>0</v>
      </c>
      <c r="X314" s="10"/>
    </row>
    <row r="315" spans="1:24" ht="11.25" hidden="1" customHeight="1" x14ac:dyDescent="0.25">
      <c r="A315" s="1" t="str">
        <f>IF(R315=0,"",COUNTIF(A$23:A314,"&gt;0")+1)</f>
        <v/>
      </c>
      <c r="B315" s="182"/>
      <c r="C315" s="63" t="s">
        <v>587</v>
      </c>
      <c r="D315" s="64" t="s">
        <v>630</v>
      </c>
      <c r="E315" s="65"/>
      <c r="F315" s="65"/>
      <c r="G315" s="97" t="s">
        <v>122</v>
      </c>
      <c r="H315" s="66" t="s">
        <v>628</v>
      </c>
      <c r="I315" s="67">
        <f>VLOOKUP(D315,A!A$1:O$767,15,FALSE)</f>
        <v>1</v>
      </c>
      <c r="J315" s="67"/>
      <c r="K315" s="68">
        <f>IF(VLOOKUP(D315,A!A$1:O$767,11,FALSE)="y",1,0)</f>
        <v>0</v>
      </c>
      <c r="L315" s="68">
        <f>IF(VLOOKUP(D315,A!A$1:O$767,12,FALSE)="y",1,0)</f>
        <v>0</v>
      </c>
      <c r="M315" s="711"/>
      <c r="N315" s="67">
        <f>VLOOKUP(D315,A!A$1:O$767,13,FALSE)</f>
        <v>0</v>
      </c>
      <c r="O315" s="183">
        <v>1</v>
      </c>
      <c r="P315" s="10">
        <f>VLOOKUP(D315,A!A$1:O$767,9,FALSE)</f>
        <v>0</v>
      </c>
      <c r="Q315" s="10" t="s">
        <v>593</v>
      </c>
      <c r="R315" s="10">
        <f t="shared" si="29"/>
        <v>0</v>
      </c>
      <c r="S315" s="10" t="str">
        <f>VLOOKUP(D315,A!A$1:AK$767,32,FALSE)</f>
        <v/>
      </c>
      <c r="T315" s="10">
        <v>0.125</v>
      </c>
      <c r="U315" s="10">
        <f t="shared" si="30"/>
        <v>0</v>
      </c>
      <c r="X315" s="10"/>
    </row>
    <row r="316" spans="1:24" ht="11.25" hidden="1" customHeight="1" x14ac:dyDescent="0.25">
      <c r="A316" s="1" t="str">
        <f>IF(R316=0,"",COUNTIF(A$23:A315,"&gt;0")+1)</f>
        <v/>
      </c>
      <c r="B316" s="182"/>
      <c r="C316" s="63" t="s">
        <v>587</v>
      </c>
      <c r="D316" s="64" t="s">
        <v>631</v>
      </c>
      <c r="E316" s="65"/>
      <c r="F316" s="65"/>
      <c r="G316" s="97" t="s">
        <v>122</v>
      </c>
      <c r="H316" s="66" t="s">
        <v>628</v>
      </c>
      <c r="I316" s="67">
        <f>VLOOKUP(D316,A!A$1:O$767,15,FALSE)</f>
        <v>1</v>
      </c>
      <c r="J316" s="67"/>
      <c r="K316" s="68">
        <f>IF(VLOOKUP(D316,A!A$1:O$767,11,FALSE)="y",1,0)</f>
        <v>0</v>
      </c>
      <c r="L316" s="68">
        <f>IF(VLOOKUP(D316,A!A$1:O$767,12,FALSE)="y",1,0)</f>
        <v>0</v>
      </c>
      <c r="M316" s="711"/>
      <c r="N316" s="67">
        <f>VLOOKUP(D316,A!A$1:O$767,13,FALSE)</f>
        <v>0</v>
      </c>
      <c r="O316" s="183">
        <v>1</v>
      </c>
      <c r="P316" s="10">
        <f>VLOOKUP(D316,A!A$1:O$767,9,FALSE)</f>
        <v>0</v>
      </c>
      <c r="Q316" s="10" t="s">
        <v>593</v>
      </c>
      <c r="R316" s="10">
        <f t="shared" si="29"/>
        <v>0</v>
      </c>
      <c r="S316" s="10">
        <f>VLOOKUP(D316,A!A$1:AK$767,32,FALSE)</f>
        <v>35</v>
      </c>
      <c r="T316" s="10">
        <v>0.125</v>
      </c>
      <c r="U316" s="10">
        <f t="shared" si="30"/>
        <v>0</v>
      </c>
      <c r="X316" s="10"/>
    </row>
    <row r="317" spans="1:24" ht="11.25" customHeight="1" x14ac:dyDescent="0.25">
      <c r="A317" s="1" t="str">
        <f>IF(R317=0,"",COUNTIF(A$23:A316,"&gt;0")+1)</f>
        <v/>
      </c>
      <c r="B317" s="182"/>
      <c r="C317" s="63" t="s">
        <v>587</v>
      </c>
      <c r="D317" s="691" t="s">
        <v>1394</v>
      </c>
      <c r="E317" s="65"/>
      <c r="F317" s="65"/>
      <c r="G317" s="97" t="s">
        <v>122</v>
      </c>
      <c r="H317" s="66" t="s">
        <v>1436</v>
      </c>
      <c r="I317" s="67">
        <f>VLOOKUP(D317,A!A$1:O$767,15,FALSE)</f>
        <v>1</v>
      </c>
      <c r="J317" s="67"/>
      <c r="K317" s="68">
        <f>IF(VLOOKUP(D317,A!A$1:O$767,11,FALSE)="y",1,0)</f>
        <v>1</v>
      </c>
      <c r="L317" s="68">
        <f>IF(VLOOKUP(D317,A!A$1:O$767,12,FALSE)="y",1,0)</f>
        <v>1</v>
      </c>
      <c r="M317" s="711" t="s">
        <v>726</v>
      </c>
      <c r="N317" s="67"/>
      <c r="O317" s="183">
        <v>1</v>
      </c>
      <c r="P317" s="10" t="str">
        <f>VLOOKUP(D317,A!A$1:O$767,9,FALSE)</f>
        <v>y</v>
      </c>
      <c r="Q317" s="10" t="s">
        <v>593</v>
      </c>
      <c r="R317" s="10">
        <f t="shared" ref="R317:R320" si="33">B317</f>
        <v>0</v>
      </c>
      <c r="S317" s="10">
        <f>VLOOKUP(D317,A!A$1:AK$767,32,FALSE)</f>
        <v>55</v>
      </c>
      <c r="T317" s="10">
        <v>0.125</v>
      </c>
      <c r="U317" s="10">
        <f t="shared" ref="U317:U320" si="34">T317*B317</f>
        <v>0</v>
      </c>
      <c r="X317" s="10"/>
    </row>
    <row r="318" spans="1:24" ht="11.25" customHeight="1" x14ac:dyDescent="0.25">
      <c r="A318" s="1" t="str">
        <f>IF(R318=0,"",COUNTIF(A$23:A317,"&gt;0")+1)</f>
        <v/>
      </c>
      <c r="B318" s="182"/>
      <c r="C318" s="63" t="s">
        <v>587</v>
      </c>
      <c r="D318" s="691" t="s">
        <v>1396</v>
      </c>
      <c r="E318" s="65"/>
      <c r="F318" s="65"/>
      <c r="G318" s="97" t="s">
        <v>122</v>
      </c>
      <c r="H318" s="66" t="s">
        <v>1437</v>
      </c>
      <c r="I318" s="67">
        <f>VLOOKUP(D318,A!A$1:O$767,15,FALSE)</f>
        <v>1</v>
      </c>
      <c r="J318" s="67"/>
      <c r="K318" s="68">
        <f>IF(VLOOKUP(D318,A!A$1:O$767,11,FALSE)="y",1,0)</f>
        <v>1</v>
      </c>
      <c r="L318" s="68">
        <f>IF(VLOOKUP(D318,A!A$1:O$767,12,FALSE)="y",1,0)</f>
        <v>1</v>
      </c>
      <c r="M318" s="711" t="s">
        <v>726</v>
      </c>
      <c r="N318" s="67"/>
      <c r="O318" s="183">
        <v>1</v>
      </c>
      <c r="P318" s="10" t="str">
        <f>VLOOKUP(D318,A!A$1:O$767,9,FALSE)</f>
        <v>y</v>
      </c>
      <c r="Q318" s="10" t="s">
        <v>593</v>
      </c>
      <c r="R318" s="10">
        <f t="shared" si="33"/>
        <v>0</v>
      </c>
      <c r="S318" s="10">
        <v>55</v>
      </c>
      <c r="T318" s="10">
        <v>0.125</v>
      </c>
      <c r="U318" s="10">
        <f t="shared" si="34"/>
        <v>0</v>
      </c>
      <c r="X318" s="10"/>
    </row>
    <row r="319" spans="1:24" ht="11.25" customHeight="1" x14ac:dyDescent="0.25">
      <c r="A319" s="1" t="str">
        <f>IF(R319=0,"",COUNTIF(A$23:A318,"&gt;0")+1)</f>
        <v/>
      </c>
      <c r="B319" s="182"/>
      <c r="C319" s="63" t="s">
        <v>587</v>
      </c>
      <c r="D319" s="691" t="s">
        <v>1434</v>
      </c>
      <c r="E319" s="65"/>
      <c r="F319" s="65"/>
      <c r="G319" s="97" t="s">
        <v>122</v>
      </c>
      <c r="H319" s="66" t="s">
        <v>1438</v>
      </c>
      <c r="I319" s="67">
        <f>VLOOKUP(D319,A!A$1:O$767,15,FALSE)</f>
        <v>1</v>
      </c>
      <c r="J319" s="67"/>
      <c r="K319" s="68">
        <f>IF(VLOOKUP(D319,A!A$1:O$767,11,FALSE)="y",1,0)</f>
        <v>1</v>
      </c>
      <c r="L319" s="68">
        <f>IF(VLOOKUP(D319,A!A$1:O$767,12,FALSE)="y",1,0)</f>
        <v>1</v>
      </c>
      <c r="M319" s="711" t="s">
        <v>726</v>
      </c>
      <c r="N319" s="67"/>
      <c r="O319" s="183">
        <v>1</v>
      </c>
      <c r="P319" s="10" t="str">
        <f>VLOOKUP(D319,A!A$1:O$767,9,FALSE)</f>
        <v>y</v>
      </c>
      <c r="Q319" s="10" t="s">
        <v>593</v>
      </c>
      <c r="R319" s="10">
        <f t="shared" si="33"/>
        <v>0</v>
      </c>
      <c r="S319" s="10">
        <v>55</v>
      </c>
      <c r="T319" s="10">
        <v>0.125</v>
      </c>
      <c r="U319" s="10">
        <f t="shared" si="34"/>
        <v>0</v>
      </c>
      <c r="X319" s="10"/>
    </row>
    <row r="320" spans="1:24" ht="11.25" customHeight="1" x14ac:dyDescent="0.25">
      <c r="A320" s="1" t="str">
        <f>IF(R320=0,"",COUNTIF(A$23:A319,"&gt;0")+1)</f>
        <v/>
      </c>
      <c r="B320" s="182"/>
      <c r="C320" s="63" t="s">
        <v>587</v>
      </c>
      <c r="D320" s="691" t="s">
        <v>1435</v>
      </c>
      <c r="E320" s="65"/>
      <c r="F320" s="65"/>
      <c r="G320" s="97" t="s">
        <v>122</v>
      </c>
      <c r="H320" s="66" t="s">
        <v>1439</v>
      </c>
      <c r="I320" s="67">
        <f>VLOOKUP(D320,A!A$1:O$767,15,FALSE)</f>
        <v>1</v>
      </c>
      <c r="J320" s="67"/>
      <c r="K320" s="68">
        <f>IF(VLOOKUP(D320,A!A$1:O$767,11,FALSE)="y",1,0)</f>
        <v>1</v>
      </c>
      <c r="L320" s="68">
        <f>IF(VLOOKUP(D320,A!A$1:O$767,12,FALSE)="y",1,0)</f>
        <v>1</v>
      </c>
      <c r="M320" s="711" t="s">
        <v>726</v>
      </c>
      <c r="N320" s="67"/>
      <c r="O320" s="183">
        <v>1</v>
      </c>
      <c r="P320" s="10" t="str">
        <f>VLOOKUP(D320,A!A$1:O$767,9,FALSE)</f>
        <v>y</v>
      </c>
      <c r="Q320" s="10" t="s">
        <v>593</v>
      </c>
      <c r="R320" s="10">
        <f t="shared" si="33"/>
        <v>0</v>
      </c>
      <c r="S320" s="10">
        <v>55</v>
      </c>
      <c r="T320" s="10">
        <v>0.125</v>
      </c>
      <c r="U320" s="10">
        <f t="shared" si="34"/>
        <v>0</v>
      </c>
      <c r="X320" s="10"/>
    </row>
    <row r="321" spans="1:24" ht="11.25" customHeight="1" x14ac:dyDescent="0.25">
      <c r="A321" s="1" t="str">
        <f>IF(R321=0,"",COUNTIF(A$23:A320,"&gt;0")+1)</f>
        <v/>
      </c>
      <c r="B321" s="182"/>
      <c r="C321" s="63" t="s">
        <v>587</v>
      </c>
      <c r="D321" s="64" t="s">
        <v>632</v>
      </c>
      <c r="E321" s="65"/>
      <c r="F321" s="65"/>
      <c r="G321" s="97" t="s">
        <v>122</v>
      </c>
      <c r="H321" s="66" t="s">
        <v>633</v>
      </c>
      <c r="I321" s="67">
        <f>VLOOKUP(D321,A!A$1:O$767,15,FALSE)</f>
        <v>1</v>
      </c>
      <c r="J321" s="67"/>
      <c r="K321" s="68">
        <f>IF(VLOOKUP(D321,A!A$1:O$767,11,FALSE)="y",1,0)</f>
        <v>1</v>
      </c>
      <c r="L321" s="68">
        <f>IF(VLOOKUP(D321,A!A$1:O$767,12,FALSE)="y",1,0)</f>
        <v>1</v>
      </c>
      <c r="M321" s="711" t="s">
        <v>726</v>
      </c>
      <c r="N321" s="67">
        <f>VLOOKUP(D321,A!A$1:O$767,13,FALSE)</f>
        <v>0</v>
      </c>
      <c r="O321" s="183">
        <v>1</v>
      </c>
      <c r="P321" s="10" t="str">
        <f>VLOOKUP(D321,A!A$1:O$767,9,FALSE)</f>
        <v>y</v>
      </c>
      <c r="Q321" s="10" t="s">
        <v>593</v>
      </c>
      <c r="R321" s="10">
        <f t="shared" si="29"/>
        <v>0</v>
      </c>
      <c r="S321" s="10">
        <f>VLOOKUP(D321,A!A$1:AK$767,32,FALSE)</f>
        <v>55</v>
      </c>
      <c r="T321" s="10">
        <v>0.125</v>
      </c>
      <c r="U321" s="10">
        <f t="shared" si="30"/>
        <v>0</v>
      </c>
      <c r="X321" s="10"/>
    </row>
    <row r="322" spans="1:24" ht="11.25" customHeight="1" x14ac:dyDescent="0.25">
      <c r="A322" s="1" t="str">
        <f>IF(R322=0,"",COUNTIF(A$23:A321,"&gt;0")+1)</f>
        <v/>
      </c>
      <c r="B322" s="182"/>
      <c r="C322" s="63" t="s">
        <v>587</v>
      </c>
      <c r="D322" s="64" t="s">
        <v>634</v>
      </c>
      <c r="E322" s="65"/>
      <c r="F322" s="65"/>
      <c r="G322" s="97" t="s">
        <v>122</v>
      </c>
      <c r="H322" s="66" t="s">
        <v>635</v>
      </c>
      <c r="I322" s="67">
        <f>VLOOKUP(D322,A!A$1:O$767,15,FALSE)</f>
        <v>1</v>
      </c>
      <c r="J322" s="67"/>
      <c r="K322" s="68">
        <f>IF(VLOOKUP(D322,A!A$1:O$767,11,FALSE)="y",1,0)</f>
        <v>1</v>
      </c>
      <c r="L322" s="68">
        <f>IF(VLOOKUP(D322,A!A$1:O$767,12,FALSE)="y",1,0)</f>
        <v>1</v>
      </c>
      <c r="M322" s="711" t="s">
        <v>726</v>
      </c>
      <c r="N322" s="67" t="str">
        <f>VLOOKUP(D322,A!A$1:O$767,13,FALSE)</f>
        <v>y</v>
      </c>
      <c r="O322" s="183">
        <v>1</v>
      </c>
      <c r="P322" s="10" t="str">
        <f>VLOOKUP(D322,A!A$1:O$767,9,FALSE)</f>
        <v>y</v>
      </c>
      <c r="Q322" s="10" t="s">
        <v>593</v>
      </c>
      <c r="R322" s="10">
        <f t="shared" si="29"/>
        <v>0</v>
      </c>
      <c r="S322" s="10">
        <f>VLOOKUP(D322,A!A$1:AK$767,32,FALSE)</f>
        <v>55</v>
      </c>
      <c r="T322" s="10">
        <v>0.125</v>
      </c>
      <c r="U322" s="10">
        <f t="shared" si="30"/>
        <v>0</v>
      </c>
      <c r="X322" s="10"/>
    </row>
    <row r="323" spans="1:24" ht="11.25" hidden="1" customHeight="1" x14ac:dyDescent="0.25">
      <c r="A323" s="1" t="str">
        <f>IF(R323=0,"",COUNTIF(A$23:A322,"&gt;0")+1)</f>
        <v/>
      </c>
      <c r="B323" s="182"/>
      <c r="C323" s="63" t="s">
        <v>587</v>
      </c>
      <c r="D323" s="64" t="s">
        <v>124</v>
      </c>
      <c r="E323" s="65"/>
      <c r="F323" s="65"/>
      <c r="G323" s="97" t="s">
        <v>122</v>
      </c>
      <c r="H323" s="66" t="s">
        <v>125</v>
      </c>
      <c r="I323" s="67">
        <f>VLOOKUP(D323,A!A$1:O$767,15,FALSE)</f>
        <v>1</v>
      </c>
      <c r="J323" s="67"/>
      <c r="K323" s="68">
        <f>IF(VLOOKUP(D323,A!A$1:O$767,11,FALSE)="y",1,0)</f>
        <v>0</v>
      </c>
      <c r="L323" s="68">
        <f>IF(VLOOKUP(D323,A!A$1:O$767,12,FALSE)="y",1,0)</f>
        <v>0</v>
      </c>
      <c r="M323" s="711"/>
      <c r="N323" s="67">
        <f>VLOOKUP(D323,A!A$1:O$767,13,FALSE)</f>
        <v>0</v>
      </c>
      <c r="O323" s="183">
        <v>1</v>
      </c>
      <c r="P323" s="10">
        <f>VLOOKUP(D323,A!A$1:O$767,9,FALSE)</f>
        <v>0</v>
      </c>
      <c r="Q323" s="10" t="s">
        <v>593</v>
      </c>
      <c r="R323" s="10">
        <f t="shared" si="29"/>
        <v>0</v>
      </c>
      <c r="S323" s="10">
        <f>VLOOKUP(D323,A!A$1:AK$767,32,FALSE)</f>
        <v>35</v>
      </c>
      <c r="T323" s="10">
        <v>0.125</v>
      </c>
      <c r="U323" s="10">
        <f t="shared" si="30"/>
        <v>0</v>
      </c>
      <c r="X323" s="10"/>
    </row>
    <row r="324" spans="1:24" ht="11.25" hidden="1" customHeight="1" x14ac:dyDescent="0.25">
      <c r="A324" s="1" t="str">
        <f>IF(R324=0,"",COUNTIF(A$23:A323,"&gt;0")+1)</f>
        <v/>
      </c>
      <c r="B324" s="182"/>
      <c r="C324" s="63" t="s">
        <v>587</v>
      </c>
      <c r="D324" s="64" t="s">
        <v>636</v>
      </c>
      <c r="E324" s="65"/>
      <c r="F324" s="65"/>
      <c r="G324" s="97" t="s">
        <v>122</v>
      </c>
      <c r="H324" s="66" t="s">
        <v>637</v>
      </c>
      <c r="I324" s="67">
        <f>VLOOKUP(D324,A!A$1:O$767,15,FALSE)</f>
        <v>1</v>
      </c>
      <c r="J324" s="67"/>
      <c r="K324" s="68">
        <f>IF(VLOOKUP(D324,A!A$1:O$767,11,FALSE)="y",1,0)</f>
        <v>0</v>
      </c>
      <c r="L324" s="68">
        <f>IF(VLOOKUP(D324,A!A$1:O$767,12,FALSE)="y",1,0)</f>
        <v>0</v>
      </c>
      <c r="M324" s="711"/>
      <c r="N324" s="67">
        <f>VLOOKUP(D324,A!A$1:O$767,13,FALSE)</f>
        <v>0</v>
      </c>
      <c r="O324" s="183">
        <v>1</v>
      </c>
      <c r="P324" s="10">
        <f>VLOOKUP(D324,A!A$1:O$767,9,FALSE)</f>
        <v>0</v>
      </c>
      <c r="Q324" s="10" t="s">
        <v>593</v>
      </c>
      <c r="R324" s="10">
        <f t="shared" si="29"/>
        <v>0</v>
      </c>
      <c r="S324" s="10">
        <f>VLOOKUP(D324,A!A$1:AK$767,32,FALSE)</f>
        <v>35</v>
      </c>
      <c r="T324" s="10">
        <v>0.125</v>
      </c>
      <c r="U324" s="10">
        <f t="shared" si="30"/>
        <v>0</v>
      </c>
      <c r="X324" s="10"/>
    </row>
    <row r="325" spans="1:24" ht="11.25" hidden="1" customHeight="1" x14ac:dyDescent="0.25">
      <c r="A325" s="1" t="str">
        <f>IF(R325=0,"",COUNTIF(A$23:A324,"&gt;0")+1)</f>
        <v/>
      </c>
      <c r="B325" s="182"/>
      <c r="C325" s="63" t="s">
        <v>587</v>
      </c>
      <c r="D325" s="64" t="s">
        <v>126</v>
      </c>
      <c r="E325" s="65"/>
      <c r="F325" s="65"/>
      <c r="G325" s="97" t="s">
        <v>122</v>
      </c>
      <c r="H325" s="66" t="s">
        <v>127</v>
      </c>
      <c r="I325" s="67">
        <f>VLOOKUP(D325,A!A$1:O$767,15,FALSE)</f>
        <v>1</v>
      </c>
      <c r="J325" s="67"/>
      <c r="K325" s="68">
        <f>IF(VLOOKUP(D325,A!A$1:O$767,11,FALSE)="y",1,0)</f>
        <v>0</v>
      </c>
      <c r="L325" s="68">
        <f>IF(VLOOKUP(D325,A!A$1:O$767,12,FALSE)="y",1,0)</f>
        <v>0</v>
      </c>
      <c r="M325" s="711"/>
      <c r="N325" s="67">
        <f>VLOOKUP(D325,A!A$1:O$767,13,FALSE)</f>
        <v>0</v>
      </c>
      <c r="O325" s="183">
        <v>1</v>
      </c>
      <c r="P325" s="10">
        <f>VLOOKUP(D325,A!A$1:O$767,9,FALSE)</f>
        <v>0</v>
      </c>
      <c r="Q325" s="10" t="s">
        <v>593</v>
      </c>
      <c r="R325" s="10">
        <f t="shared" si="29"/>
        <v>0</v>
      </c>
      <c r="S325" s="10">
        <f>VLOOKUP(D325,A!A$1:AK$767,32,FALSE)</f>
        <v>35</v>
      </c>
      <c r="T325" s="10">
        <v>0.125</v>
      </c>
      <c r="U325" s="10">
        <f t="shared" si="30"/>
        <v>0</v>
      </c>
      <c r="X325" s="10"/>
    </row>
    <row r="326" spans="1:24" ht="11.25" hidden="1" customHeight="1" x14ac:dyDescent="0.25">
      <c r="A326" s="1" t="str">
        <f>IF(R326=0,"",COUNTIF(A$23:A325,"&gt;0")+1)</f>
        <v/>
      </c>
      <c r="B326" s="182"/>
      <c r="C326" s="63" t="s">
        <v>587</v>
      </c>
      <c r="D326" s="64" t="s">
        <v>638</v>
      </c>
      <c r="E326" s="65"/>
      <c r="F326" s="65"/>
      <c r="G326" s="97" t="s">
        <v>122</v>
      </c>
      <c r="H326" s="66" t="s">
        <v>639</v>
      </c>
      <c r="I326" s="67">
        <f>VLOOKUP(D326,A!A$1:O$767,15,FALSE)</f>
        <v>1</v>
      </c>
      <c r="J326" s="67"/>
      <c r="K326" s="68">
        <f>IF(VLOOKUP(D326,A!A$1:O$767,11,FALSE)="y",1,0)</f>
        <v>0</v>
      </c>
      <c r="L326" s="68">
        <f>IF(VLOOKUP(D326,A!A$1:O$767,12,FALSE)="y",1,0)</f>
        <v>0</v>
      </c>
      <c r="M326" s="711"/>
      <c r="N326" s="67">
        <f>VLOOKUP(D326,A!A$1:O$767,13,FALSE)</f>
        <v>0</v>
      </c>
      <c r="O326" s="183">
        <v>1</v>
      </c>
      <c r="P326" s="10">
        <f>VLOOKUP(D326,A!A$1:O$767,9,FALSE)</f>
        <v>0</v>
      </c>
      <c r="Q326" s="10" t="s">
        <v>593</v>
      </c>
      <c r="R326" s="10">
        <f t="shared" si="29"/>
        <v>0</v>
      </c>
      <c r="S326" s="10">
        <f>VLOOKUP(D326,A!A$1:AK$767,32,FALSE)</f>
        <v>55</v>
      </c>
      <c r="T326" s="10">
        <v>0.125</v>
      </c>
      <c r="U326" s="10">
        <f t="shared" si="30"/>
        <v>0</v>
      </c>
      <c r="X326" s="10"/>
    </row>
    <row r="327" spans="1:24" ht="11.25" hidden="1" customHeight="1" x14ac:dyDescent="0.25">
      <c r="A327" s="1" t="str">
        <f>IF(R327=0,"",COUNTIF(A$23:A326,"&gt;0")+1)</f>
        <v/>
      </c>
      <c r="B327" s="182"/>
      <c r="C327" s="63" t="s">
        <v>587</v>
      </c>
      <c r="D327" s="64" t="s">
        <v>640</v>
      </c>
      <c r="E327" s="65"/>
      <c r="F327" s="65"/>
      <c r="G327" s="97" t="s">
        <v>641</v>
      </c>
      <c r="H327" s="66" t="s">
        <v>642</v>
      </c>
      <c r="I327" s="67">
        <f>VLOOKUP(D327,A!A$1:O$767,15,FALSE)</f>
        <v>2</v>
      </c>
      <c r="J327" s="67"/>
      <c r="K327" s="68">
        <f>IF(VLOOKUP(D327,A!A$1:O$767,11,FALSE)="y",1,0)</f>
        <v>0</v>
      </c>
      <c r="L327" s="68">
        <f>IF(VLOOKUP(D327,A!A$1:O$767,12,FALSE)="y",1,0)</f>
        <v>0</v>
      </c>
      <c r="M327" s="711" t="str">
        <f>IF(VLOOKUP(D327,A!A$1:O$767,10,FALSE)="y","NEW","")</f>
        <v/>
      </c>
      <c r="N327" s="67">
        <f>VLOOKUP(D327,A!A$1:O$767,13,FALSE)</f>
        <v>0</v>
      </c>
      <c r="O327" s="183">
        <v>1</v>
      </c>
      <c r="P327" s="10">
        <f>VLOOKUP(D327,A!A$1:O$767,9,FALSE)</f>
        <v>0</v>
      </c>
      <c r="Q327" s="10" t="s">
        <v>593</v>
      </c>
      <c r="R327" s="10">
        <f t="shared" si="29"/>
        <v>0</v>
      </c>
      <c r="S327" s="10" t="str">
        <f>VLOOKUP(D327,A!A$1:AK$767,32,FALSE)</f>
        <v/>
      </c>
      <c r="T327" s="10">
        <v>0.125</v>
      </c>
      <c r="U327" s="10">
        <f t="shared" si="30"/>
        <v>0</v>
      </c>
      <c r="X327" s="10"/>
    </row>
    <row r="328" spans="1:24" ht="11.25" customHeight="1" x14ac:dyDescent="0.25">
      <c r="A328" s="1" t="str">
        <f>IF(R328=0,"",COUNTIF(A$23:A327,"&gt;0")+1)</f>
        <v/>
      </c>
      <c r="B328" s="182"/>
      <c r="C328" s="63" t="s">
        <v>587</v>
      </c>
      <c r="D328" s="64" t="s">
        <v>158</v>
      </c>
      <c r="E328" s="65"/>
      <c r="F328" s="65"/>
      <c r="G328" s="97" t="s">
        <v>643</v>
      </c>
      <c r="H328" s="66" t="s">
        <v>644</v>
      </c>
      <c r="I328" s="67">
        <f>VLOOKUP(D328,A!A$1:O$767,15,FALSE)</f>
        <v>2</v>
      </c>
      <c r="J328" s="67"/>
      <c r="K328" s="68">
        <f>IF(VLOOKUP(D328,A!A$1:O$767,11,FALSE)="y",1,0)</f>
        <v>1</v>
      </c>
      <c r="L328" s="68">
        <f>IF(VLOOKUP(D328,A!A$1:O$767,12,FALSE)="y",1,0)</f>
        <v>0</v>
      </c>
      <c r="M328" s="711"/>
      <c r="N328" s="67">
        <f>VLOOKUP(D328,A!A$1:O$767,13,FALSE)</f>
        <v>0</v>
      </c>
      <c r="O328" s="183">
        <v>1</v>
      </c>
      <c r="P328" s="10" t="str">
        <f>VLOOKUP(D328,A!A$1:O$767,9,FALSE)</f>
        <v>y</v>
      </c>
      <c r="Q328" s="10" t="s">
        <v>593</v>
      </c>
      <c r="R328" s="10">
        <f t="shared" si="29"/>
        <v>0</v>
      </c>
      <c r="S328" s="10">
        <f>VLOOKUP(D328,A!A$1:AK$767,32,FALSE)</f>
        <v>25</v>
      </c>
      <c r="T328" s="10">
        <v>0.125</v>
      </c>
      <c r="U328" s="10">
        <f t="shared" si="30"/>
        <v>0</v>
      </c>
      <c r="X328" s="10"/>
    </row>
    <row r="329" spans="1:24" ht="11.25" hidden="1" customHeight="1" x14ac:dyDescent="0.25">
      <c r="A329" s="1" t="str">
        <f>IF(R329=0,"",COUNTIF(A$23:A328,"&gt;0")+1)</f>
        <v/>
      </c>
      <c r="B329" s="182"/>
      <c r="C329" s="63" t="s">
        <v>587</v>
      </c>
      <c r="D329" s="64" t="s">
        <v>645</v>
      </c>
      <c r="E329" s="65"/>
      <c r="F329" s="65"/>
      <c r="G329" s="97" t="s">
        <v>646</v>
      </c>
      <c r="H329" s="66" t="s">
        <v>647</v>
      </c>
      <c r="I329" s="67">
        <f>VLOOKUP(D329,A!A$1:O$767,15,FALSE)</f>
        <v>2</v>
      </c>
      <c r="J329" s="67"/>
      <c r="K329" s="68">
        <f>IF(VLOOKUP(D329,A!A$1:O$767,11,FALSE)="y",1,0)</f>
        <v>0</v>
      </c>
      <c r="L329" s="68">
        <f>IF(VLOOKUP(D329,A!A$1:O$767,12,FALSE)="y",1,0)</f>
        <v>0</v>
      </c>
      <c r="M329" s="711" t="str">
        <f>IF(VLOOKUP(D329,A!A$1:O$767,10,FALSE)="y","NEW","")</f>
        <v/>
      </c>
      <c r="N329" s="67">
        <f>VLOOKUP(D329,A!A$1:O$767,13,FALSE)</f>
        <v>0</v>
      </c>
      <c r="O329" s="183">
        <v>1</v>
      </c>
      <c r="P329" s="10">
        <f>VLOOKUP(D329,A!A$1:O$767,9,FALSE)</f>
        <v>0</v>
      </c>
      <c r="Q329" s="10" t="s">
        <v>593</v>
      </c>
      <c r="R329" s="10">
        <f t="shared" si="29"/>
        <v>0</v>
      </c>
      <c r="S329" s="10" t="str">
        <f>VLOOKUP(D329,A!A$1:AK$767,32,FALSE)</f>
        <v/>
      </c>
      <c r="T329" s="10">
        <v>0.125</v>
      </c>
      <c r="U329" s="10">
        <f t="shared" si="30"/>
        <v>0</v>
      </c>
      <c r="X329" s="10"/>
    </row>
    <row r="330" spans="1:24" ht="11.25" hidden="1" customHeight="1" x14ac:dyDescent="0.25">
      <c r="A330" s="1" t="str">
        <f>IF(R330=0,"",COUNTIF(A$23:A329,"&gt;0")+1)</f>
        <v/>
      </c>
      <c r="B330" s="182"/>
      <c r="C330" s="63" t="s">
        <v>587</v>
      </c>
      <c r="D330" s="64" t="s">
        <v>194</v>
      </c>
      <c r="E330" s="65"/>
      <c r="F330" s="65"/>
      <c r="G330" s="97" t="s">
        <v>195</v>
      </c>
      <c r="H330" s="66" t="s">
        <v>196</v>
      </c>
      <c r="I330" s="67">
        <f>VLOOKUP(D330,A!A$1:O$767,15,FALSE)</f>
        <v>1</v>
      </c>
      <c r="J330" s="67"/>
      <c r="K330" s="68">
        <f>IF(VLOOKUP(D330,A!A$1:O$767,11,FALSE)="y",1,0)</f>
        <v>0</v>
      </c>
      <c r="L330" s="68">
        <f>IF(VLOOKUP(D330,A!A$1:O$767,12,FALSE)="y",1,0)</f>
        <v>0</v>
      </c>
      <c r="M330" s="711"/>
      <c r="N330" s="67">
        <f>VLOOKUP(D330,A!A$1:O$767,13,FALSE)</f>
        <v>0</v>
      </c>
      <c r="O330" s="183">
        <v>1</v>
      </c>
      <c r="P330" s="10">
        <f>VLOOKUP(D330,A!A$1:O$767,9,FALSE)</f>
        <v>0</v>
      </c>
      <c r="Q330" s="10" t="s">
        <v>593</v>
      </c>
      <c r="R330" s="10">
        <f t="shared" si="29"/>
        <v>0</v>
      </c>
      <c r="S330" s="10">
        <f>VLOOKUP(D330,A!A$1:AK$767,32,FALSE)</f>
        <v>35</v>
      </c>
      <c r="T330" s="10">
        <v>0.125</v>
      </c>
      <c r="U330" s="10">
        <f t="shared" si="30"/>
        <v>0</v>
      </c>
      <c r="X330" s="10"/>
    </row>
    <row r="331" spans="1:24" ht="11.25" hidden="1" customHeight="1" x14ac:dyDescent="0.25">
      <c r="A331" s="1" t="str">
        <f>IF(R331=0,"",COUNTIF(A$23:A330,"&gt;0")+1)</f>
        <v/>
      </c>
      <c r="B331" s="182"/>
      <c r="C331" s="63" t="s">
        <v>587</v>
      </c>
      <c r="D331" s="64" t="s">
        <v>648</v>
      </c>
      <c r="E331" s="65"/>
      <c r="F331" s="65"/>
      <c r="G331" s="97" t="s">
        <v>649</v>
      </c>
      <c r="H331" s="66" t="s">
        <v>650</v>
      </c>
      <c r="I331" s="67">
        <f>VLOOKUP(D331,A!A$1:O$767,15,FALSE)</f>
        <v>2</v>
      </c>
      <c r="J331" s="67"/>
      <c r="K331" s="68">
        <f>IF(VLOOKUP(D331,A!A$1:O$767,11,FALSE)="y",1,0)</f>
        <v>0</v>
      </c>
      <c r="L331" s="68">
        <f>IF(VLOOKUP(D331,A!A$1:O$767,12,FALSE)="y",1,0)</f>
        <v>0</v>
      </c>
      <c r="M331" s="711" t="str">
        <f>IF(VLOOKUP(D331,A!A$1:O$767,10,FALSE)="y","NEW","")</f>
        <v/>
      </c>
      <c r="N331" s="67">
        <f>VLOOKUP(D331,A!A$1:O$767,13,FALSE)</f>
        <v>0</v>
      </c>
      <c r="O331" s="183">
        <v>1</v>
      </c>
      <c r="P331" s="10">
        <f>VLOOKUP(D331,A!A$1:O$767,9,FALSE)</f>
        <v>0</v>
      </c>
      <c r="Q331" s="10" t="s">
        <v>593</v>
      </c>
      <c r="R331" s="10">
        <f t="shared" si="29"/>
        <v>0</v>
      </c>
      <c r="S331" s="10">
        <f>VLOOKUP(D331,A!A$1:AK$767,32,FALSE)</f>
        <v>35</v>
      </c>
      <c r="T331" s="10">
        <v>0.125</v>
      </c>
      <c r="U331" s="10">
        <f t="shared" si="30"/>
        <v>0</v>
      </c>
      <c r="X331" s="10"/>
    </row>
    <row r="332" spans="1:24" ht="11.25" customHeight="1" x14ac:dyDescent="0.25">
      <c r="A332" s="1" t="str">
        <f>IF(R332=0,"",COUNTIF(A$23:A331,"&gt;0")+1)</f>
        <v/>
      </c>
      <c r="B332" s="759"/>
      <c r="C332" s="738" t="s">
        <v>587</v>
      </c>
      <c r="D332" s="760" t="s">
        <v>197</v>
      </c>
      <c r="E332" s="747"/>
      <c r="F332" s="747"/>
      <c r="G332" s="748" t="s">
        <v>198</v>
      </c>
      <c r="H332" s="749" t="s">
        <v>199</v>
      </c>
      <c r="I332" s="750">
        <f>VLOOKUP(D332,A!A$1:O$767,15,FALSE)</f>
        <v>2</v>
      </c>
      <c r="J332" s="750"/>
      <c r="K332" s="751">
        <f>IF(VLOOKUP(D332,A!A$1:O$767,11,FALSE)="y",1,0)</f>
        <v>1</v>
      </c>
      <c r="L332" s="751">
        <f>IF(VLOOKUP(D332,A!A$1:O$767,12,FALSE)="y",1,0)</f>
        <v>0</v>
      </c>
      <c r="M332" s="752"/>
      <c r="N332" s="750">
        <f>VLOOKUP(D332,A!A$1:O$767,13,FALSE)</f>
        <v>0</v>
      </c>
      <c r="O332" s="761">
        <v>1</v>
      </c>
      <c r="P332" s="10" t="str">
        <f>VLOOKUP(D332,A!A$1:O$767,9,FALSE)</f>
        <v>y</v>
      </c>
      <c r="Q332" s="10" t="s">
        <v>593</v>
      </c>
      <c r="R332" s="10">
        <f t="shared" si="29"/>
        <v>0</v>
      </c>
      <c r="S332" s="10">
        <f>VLOOKUP(D332,A!A$1:AK$767,32,FALSE)</f>
        <v>35</v>
      </c>
      <c r="T332" s="10">
        <v>0.125</v>
      </c>
      <c r="U332" s="10">
        <f t="shared" si="30"/>
        <v>0</v>
      </c>
      <c r="X332" s="10"/>
    </row>
    <row r="333" spans="1:24" ht="11.25" hidden="1" customHeight="1" x14ac:dyDescent="0.25">
      <c r="A333" s="1" t="str">
        <f>IF(R333=0,"",COUNTIF(A$23:A332,"&gt;0")+1)</f>
        <v/>
      </c>
      <c r="B333" s="628"/>
      <c r="C333" s="164" t="s">
        <v>587</v>
      </c>
      <c r="D333" s="165" t="s">
        <v>651</v>
      </c>
      <c r="E333" s="166"/>
      <c r="F333" s="166"/>
      <c r="G333" s="167" t="s">
        <v>198</v>
      </c>
      <c r="H333" s="168" t="s">
        <v>652</v>
      </c>
      <c r="I333" s="150">
        <f>VLOOKUP(D333,A!A$1:O$767,15,FALSE)</f>
        <v>2</v>
      </c>
      <c r="J333" s="150"/>
      <c r="K333" s="378">
        <f>IF(VLOOKUP(D333,A!A$1:O$767,11,FALSE)="y",1,0)</f>
        <v>0</v>
      </c>
      <c r="L333" s="378">
        <f>IF(VLOOKUP(D333,A!A$1:O$767,12,FALSE)="y",1,0)</f>
        <v>0</v>
      </c>
      <c r="M333" s="149" t="str">
        <f>IF(VLOOKUP(D333,A!A$1:O$767,10,FALSE)="y","NEW","")</f>
        <v/>
      </c>
      <c r="N333" s="150">
        <f>VLOOKUP(D333,A!A$1:O$767,13,FALSE)</f>
        <v>0</v>
      </c>
      <c r="O333" s="629">
        <v>1</v>
      </c>
      <c r="P333" s="10">
        <f>VLOOKUP(D333,A!A$1:O$767,9,FALSE)</f>
        <v>0</v>
      </c>
      <c r="Q333" s="10" t="s">
        <v>593</v>
      </c>
      <c r="R333" s="10">
        <f t="shared" ref="R333:R364" si="35">B333</f>
        <v>0</v>
      </c>
      <c r="S333" s="10" t="str">
        <f>VLOOKUP(D333,A!A$1:AK$767,32,FALSE)</f>
        <v/>
      </c>
      <c r="T333" s="10">
        <v>0.125</v>
      </c>
      <c r="U333" s="10">
        <f t="shared" ref="U333:U364" si="36">T333*B333</f>
        <v>0</v>
      </c>
      <c r="X333" s="10"/>
    </row>
    <row r="334" spans="1:24" ht="11.25" hidden="1" customHeight="1" x14ac:dyDescent="0.25">
      <c r="A334" s="1" t="str">
        <f>IF(R334=0,"",COUNTIF(A$23:A333,"&gt;0")+1)</f>
        <v/>
      </c>
      <c r="B334" s="182"/>
      <c r="C334" s="63" t="s">
        <v>587</v>
      </c>
      <c r="D334" s="64" t="s">
        <v>653</v>
      </c>
      <c r="E334" s="65"/>
      <c r="F334" s="65"/>
      <c r="G334" s="96" t="s">
        <v>198</v>
      </c>
      <c r="H334" s="66" t="s">
        <v>654</v>
      </c>
      <c r="I334" s="67">
        <f>VLOOKUP(D334,A!A$1:O$767,15,FALSE)</f>
        <v>2</v>
      </c>
      <c r="J334" s="67"/>
      <c r="K334" s="68">
        <f>IF(VLOOKUP(D334,A!A$1:O$767,11,FALSE)="y",1,0)</f>
        <v>0</v>
      </c>
      <c r="L334" s="68">
        <f>IF(VLOOKUP(D334,A!A$1:O$767,12,FALSE)="y",1,0)</f>
        <v>0</v>
      </c>
      <c r="M334" s="92" t="str">
        <f>IF(VLOOKUP(D334,A!A$1:O$767,10,FALSE)="y","NEW","")</f>
        <v/>
      </c>
      <c r="N334" s="67">
        <f>VLOOKUP(D334,A!A$1:O$767,13,FALSE)</f>
        <v>0</v>
      </c>
      <c r="O334" s="183">
        <v>1</v>
      </c>
      <c r="P334" s="10">
        <f>VLOOKUP(D334,A!A$1:O$767,9,FALSE)</f>
        <v>0</v>
      </c>
      <c r="Q334" s="10" t="s">
        <v>593</v>
      </c>
      <c r="R334" s="10">
        <f t="shared" si="35"/>
        <v>0</v>
      </c>
      <c r="S334" s="10" t="str">
        <f>VLOOKUP(D334,A!A$1:AK$767,32,FALSE)</f>
        <v/>
      </c>
      <c r="T334" s="10">
        <v>0.125</v>
      </c>
      <c r="U334" s="10">
        <f t="shared" si="36"/>
        <v>0</v>
      </c>
      <c r="X334" s="10"/>
    </row>
    <row r="335" spans="1:24" ht="11.25" hidden="1" customHeight="1" x14ac:dyDescent="0.25">
      <c r="A335" s="1" t="str">
        <f>IF(R335=0,"",COUNTIF(A$23:A334,"&gt;0")+1)</f>
        <v/>
      </c>
      <c r="B335" s="182"/>
      <c r="C335" s="63" t="s">
        <v>587</v>
      </c>
      <c r="D335" s="64" t="s">
        <v>655</v>
      </c>
      <c r="E335" s="65"/>
      <c r="F335" s="65"/>
      <c r="G335" s="96" t="s">
        <v>198</v>
      </c>
      <c r="H335" s="66" t="s">
        <v>656</v>
      </c>
      <c r="I335" s="67">
        <f>VLOOKUP(D335,A!A$1:O$767,15,FALSE)</f>
        <v>2</v>
      </c>
      <c r="J335" s="67"/>
      <c r="K335" s="68">
        <f>IF(VLOOKUP(D335,A!A$1:O$767,11,FALSE)="y",1,0)</f>
        <v>0</v>
      </c>
      <c r="L335" s="68">
        <f>IF(VLOOKUP(D335,A!A$1:O$767,12,FALSE)="y",1,0)</f>
        <v>0</v>
      </c>
      <c r="M335" s="92" t="str">
        <f>IF(VLOOKUP(D335,A!A$1:O$767,10,FALSE)="y","NEW","")</f>
        <v/>
      </c>
      <c r="N335" s="67">
        <f>VLOOKUP(D335,A!A$1:O$767,13,FALSE)</f>
        <v>0</v>
      </c>
      <c r="O335" s="183">
        <v>1</v>
      </c>
      <c r="P335" s="10">
        <f>VLOOKUP(D335,A!A$1:O$767,9,FALSE)</f>
        <v>0</v>
      </c>
      <c r="Q335" s="10" t="s">
        <v>593</v>
      </c>
      <c r="R335" s="10">
        <f t="shared" si="35"/>
        <v>0</v>
      </c>
      <c r="S335" s="10" t="str">
        <f>VLOOKUP(D335,A!A$1:AK$767,32,FALSE)</f>
        <v/>
      </c>
      <c r="T335" s="10">
        <v>0.125</v>
      </c>
      <c r="U335" s="10">
        <f t="shared" si="36"/>
        <v>0</v>
      </c>
      <c r="X335" s="10"/>
    </row>
    <row r="336" spans="1:24" ht="11.25" hidden="1" customHeight="1" x14ac:dyDescent="0.25">
      <c r="A336" s="1" t="str">
        <f>IF(R336=0,"",COUNTIF(A$23:A335,"&gt;0")+1)</f>
        <v/>
      </c>
      <c r="B336" s="182"/>
      <c r="C336" s="63" t="s">
        <v>587</v>
      </c>
      <c r="D336" s="64" t="s">
        <v>657</v>
      </c>
      <c r="E336" s="65"/>
      <c r="F336" s="65"/>
      <c r="G336" s="96" t="s">
        <v>198</v>
      </c>
      <c r="H336" s="66" t="s">
        <v>658</v>
      </c>
      <c r="I336" s="67">
        <f>VLOOKUP(D336,A!A$1:O$767,15,FALSE)</f>
        <v>2</v>
      </c>
      <c r="J336" s="67"/>
      <c r="K336" s="68">
        <f>IF(VLOOKUP(D336,A!A$1:O$767,11,FALSE)="y",1,0)</f>
        <v>0</v>
      </c>
      <c r="L336" s="68">
        <f>IF(VLOOKUP(D336,A!A$1:O$767,12,FALSE)="y",1,0)</f>
        <v>0</v>
      </c>
      <c r="M336" s="92" t="str">
        <f>IF(VLOOKUP(D336,A!A$1:O$767,10,FALSE)="y","NEW","")</f>
        <v/>
      </c>
      <c r="N336" s="67">
        <f>VLOOKUP(D336,A!A$1:O$767,13,FALSE)</f>
        <v>0</v>
      </c>
      <c r="O336" s="183">
        <v>1</v>
      </c>
      <c r="P336" s="10">
        <f>VLOOKUP(D336,A!A$1:O$767,9,FALSE)</f>
        <v>0</v>
      </c>
      <c r="Q336" s="10" t="s">
        <v>593</v>
      </c>
      <c r="R336" s="10">
        <f t="shared" si="35"/>
        <v>0</v>
      </c>
      <c r="S336" s="10" t="str">
        <f>VLOOKUP(D336,A!A$1:AK$767,32,FALSE)</f>
        <v/>
      </c>
      <c r="T336" s="10">
        <v>0.125</v>
      </c>
      <c r="U336" s="10">
        <f t="shared" si="36"/>
        <v>0</v>
      </c>
      <c r="X336" s="10"/>
    </row>
    <row r="337" spans="1:24" ht="11.25" hidden="1" customHeight="1" x14ac:dyDescent="0.25">
      <c r="A337" s="1" t="str">
        <f>IF(R337=0,"",COUNTIF(A$23:A336,"&gt;0")+1)</f>
        <v/>
      </c>
      <c r="B337" s="182"/>
      <c r="C337" s="63" t="s">
        <v>587</v>
      </c>
      <c r="D337" s="64" t="s">
        <v>659</v>
      </c>
      <c r="E337" s="65"/>
      <c r="F337" s="65"/>
      <c r="G337" s="96" t="s">
        <v>198</v>
      </c>
      <c r="H337" s="66" t="s">
        <v>660</v>
      </c>
      <c r="I337" s="67">
        <f>VLOOKUP(D337,A!A$1:O$767,15,FALSE)</f>
        <v>2</v>
      </c>
      <c r="J337" s="67"/>
      <c r="K337" s="68">
        <f>IF(VLOOKUP(D337,A!A$1:O$767,11,FALSE)="y",1,0)</f>
        <v>0</v>
      </c>
      <c r="L337" s="68">
        <f>IF(VLOOKUP(D337,A!A$1:O$767,12,FALSE)="y",1,0)</f>
        <v>0</v>
      </c>
      <c r="M337" s="92" t="str">
        <f>IF(VLOOKUP(D337,A!A$1:O$767,10,FALSE)="y","NEW","")</f>
        <v/>
      </c>
      <c r="N337" s="67">
        <f>VLOOKUP(D337,A!A$1:O$767,13,FALSE)</f>
        <v>0</v>
      </c>
      <c r="O337" s="183">
        <v>1</v>
      </c>
      <c r="P337" s="10">
        <f>VLOOKUP(D337,A!A$1:O$767,9,FALSE)</f>
        <v>0</v>
      </c>
      <c r="Q337" s="10" t="s">
        <v>593</v>
      </c>
      <c r="R337" s="10">
        <f t="shared" si="35"/>
        <v>0</v>
      </c>
      <c r="S337" s="10" t="str">
        <f>VLOOKUP(D337,A!A$1:AK$767,32,FALSE)</f>
        <v/>
      </c>
      <c r="T337" s="10">
        <v>0.125</v>
      </c>
      <c r="U337" s="10">
        <f t="shared" si="36"/>
        <v>0</v>
      </c>
      <c r="X337" s="10"/>
    </row>
    <row r="338" spans="1:24" ht="11.25" hidden="1" customHeight="1" x14ac:dyDescent="0.25">
      <c r="A338" s="1" t="str">
        <f>IF(R338=0,"",COUNTIF(A$23:A337,"&gt;0")+1)</f>
        <v/>
      </c>
      <c r="B338" s="182"/>
      <c r="C338" s="63" t="s">
        <v>587</v>
      </c>
      <c r="D338" s="64" t="s">
        <v>661</v>
      </c>
      <c r="E338" s="65"/>
      <c r="F338" s="65"/>
      <c r="G338" s="96" t="s">
        <v>198</v>
      </c>
      <c r="H338" s="66" t="s">
        <v>662</v>
      </c>
      <c r="I338" s="67">
        <f>VLOOKUP(D338,A!A$1:O$767,15,FALSE)</f>
        <v>2</v>
      </c>
      <c r="J338" s="67"/>
      <c r="K338" s="68">
        <f>IF(VLOOKUP(D338,A!A$1:O$767,11,FALSE)="y",1,0)</f>
        <v>0</v>
      </c>
      <c r="L338" s="68">
        <f>IF(VLOOKUP(D338,A!A$1:O$767,12,FALSE)="y",1,0)</f>
        <v>0</v>
      </c>
      <c r="M338" s="92" t="str">
        <f>IF(VLOOKUP(D338,A!A$1:O$767,10,FALSE)="y","NEW","")</f>
        <v/>
      </c>
      <c r="N338" s="67">
        <f>VLOOKUP(D338,A!A$1:O$767,13,FALSE)</f>
        <v>0</v>
      </c>
      <c r="O338" s="183">
        <v>1</v>
      </c>
      <c r="P338" s="10">
        <f>VLOOKUP(D338,A!A$1:O$767,9,FALSE)</f>
        <v>0</v>
      </c>
      <c r="Q338" s="10" t="s">
        <v>593</v>
      </c>
      <c r="R338" s="10">
        <f t="shared" si="35"/>
        <v>0</v>
      </c>
      <c r="S338" s="10" t="str">
        <f>VLOOKUP(D338,A!A$1:AK$767,32,FALSE)</f>
        <v/>
      </c>
      <c r="T338" s="10">
        <v>0.125</v>
      </c>
      <c r="U338" s="10">
        <f t="shared" si="36"/>
        <v>0</v>
      </c>
      <c r="X338" s="10"/>
    </row>
    <row r="339" spans="1:24" ht="11.25" hidden="1" customHeight="1" x14ac:dyDescent="0.25">
      <c r="A339" s="1" t="str">
        <f>IF(R339=0,"",COUNTIF(A$23:A338,"&gt;0")+1)</f>
        <v/>
      </c>
      <c r="B339" s="182"/>
      <c r="C339" s="63" t="s">
        <v>587</v>
      </c>
      <c r="D339" s="64" t="s">
        <v>663</v>
      </c>
      <c r="E339" s="65"/>
      <c r="F339" s="65"/>
      <c r="G339" s="96" t="s">
        <v>198</v>
      </c>
      <c r="H339" s="66" t="s">
        <v>664</v>
      </c>
      <c r="I339" s="67">
        <f>VLOOKUP(D339,A!A$1:O$767,15,FALSE)</f>
        <v>2</v>
      </c>
      <c r="J339" s="67"/>
      <c r="K339" s="68">
        <f>IF(VLOOKUP(D339,A!A$1:O$767,11,FALSE)="y",1,0)</f>
        <v>0</v>
      </c>
      <c r="L339" s="68">
        <f>IF(VLOOKUP(D339,A!A$1:O$767,12,FALSE)="y",1,0)</f>
        <v>0</v>
      </c>
      <c r="M339" s="92" t="str">
        <f>IF(VLOOKUP(D339,A!A$1:O$767,10,FALSE)="y","NEW","")</f>
        <v/>
      </c>
      <c r="N339" s="67">
        <f>VLOOKUP(D339,A!A$1:O$767,13,FALSE)</f>
        <v>0</v>
      </c>
      <c r="O339" s="183">
        <v>1</v>
      </c>
      <c r="P339" s="10">
        <f>VLOOKUP(D339,A!A$1:O$767,9,FALSE)</f>
        <v>0</v>
      </c>
      <c r="Q339" s="10" t="s">
        <v>593</v>
      </c>
      <c r="R339" s="10">
        <f t="shared" si="35"/>
        <v>0</v>
      </c>
      <c r="S339" s="10" t="str">
        <f>VLOOKUP(D339,A!A$1:AK$767,32,FALSE)</f>
        <v/>
      </c>
      <c r="T339" s="10">
        <v>0.125</v>
      </c>
      <c r="U339" s="10">
        <f t="shared" si="36"/>
        <v>0</v>
      </c>
      <c r="X339" s="10"/>
    </row>
    <row r="340" spans="1:24" ht="11.25" hidden="1" customHeight="1" x14ac:dyDescent="0.25">
      <c r="A340" s="1" t="str">
        <f>IF(R340=0,"",COUNTIF(A$23:A339,"&gt;0")+1)</f>
        <v/>
      </c>
      <c r="B340" s="182"/>
      <c r="C340" s="63" t="s">
        <v>587</v>
      </c>
      <c r="D340" s="64" t="s">
        <v>665</v>
      </c>
      <c r="E340" s="65"/>
      <c r="F340" s="65"/>
      <c r="G340" s="96" t="s">
        <v>198</v>
      </c>
      <c r="H340" s="66" t="s">
        <v>666</v>
      </c>
      <c r="I340" s="67">
        <f>VLOOKUP(D340,A!A$1:O$767,15,FALSE)</f>
        <v>2</v>
      </c>
      <c r="J340" s="67"/>
      <c r="K340" s="68">
        <f>IF(VLOOKUP(D340,A!A$1:O$767,11,FALSE)="y",1,0)</f>
        <v>0</v>
      </c>
      <c r="L340" s="68">
        <f>IF(VLOOKUP(D340,A!A$1:O$767,12,FALSE)="y",1,0)</f>
        <v>0</v>
      </c>
      <c r="M340" s="92" t="str">
        <f>IF(VLOOKUP(D340,A!A$1:O$767,10,FALSE)="y","NEW","")</f>
        <v/>
      </c>
      <c r="N340" s="67">
        <f>VLOOKUP(D340,A!A$1:O$767,13,FALSE)</f>
        <v>0</v>
      </c>
      <c r="O340" s="183">
        <v>1</v>
      </c>
      <c r="P340" s="10">
        <f>VLOOKUP(D340,A!A$1:O$767,9,FALSE)</f>
        <v>0</v>
      </c>
      <c r="Q340" s="10" t="s">
        <v>593</v>
      </c>
      <c r="R340" s="10">
        <f t="shared" si="35"/>
        <v>0</v>
      </c>
      <c r="S340" s="10" t="str">
        <f>VLOOKUP(D340,A!A$1:AK$767,32,FALSE)</f>
        <v/>
      </c>
      <c r="T340" s="10">
        <v>0.125</v>
      </c>
      <c r="U340" s="10">
        <f t="shared" si="36"/>
        <v>0</v>
      </c>
      <c r="X340" s="10"/>
    </row>
    <row r="341" spans="1:24" ht="11.25" hidden="1" customHeight="1" x14ac:dyDescent="0.25">
      <c r="A341" s="1" t="str">
        <f>IF(R341=0,"",COUNTIF(A$23:A340,"&gt;0")+1)</f>
        <v/>
      </c>
      <c r="B341" s="182"/>
      <c r="C341" s="63" t="s">
        <v>587</v>
      </c>
      <c r="D341" s="64" t="s">
        <v>667</v>
      </c>
      <c r="E341" s="65"/>
      <c r="F341" s="65"/>
      <c r="G341" s="96" t="s">
        <v>198</v>
      </c>
      <c r="H341" s="66" t="s">
        <v>668</v>
      </c>
      <c r="I341" s="67">
        <f>VLOOKUP(D341,A!A$1:O$767,15,FALSE)</f>
        <v>2</v>
      </c>
      <c r="J341" s="67"/>
      <c r="K341" s="68">
        <f>IF(VLOOKUP(D341,A!A$1:O$767,11,FALSE)="y",1,0)</f>
        <v>0</v>
      </c>
      <c r="L341" s="68">
        <f>IF(VLOOKUP(D341,A!A$1:O$767,12,FALSE)="y",1,0)</f>
        <v>0</v>
      </c>
      <c r="M341" s="92" t="str">
        <f>IF(VLOOKUP(D341,A!A$1:O$767,10,FALSE)="y","NEW","")</f>
        <v/>
      </c>
      <c r="N341" s="67">
        <f>VLOOKUP(D341,A!A$1:O$767,13,FALSE)</f>
        <v>0</v>
      </c>
      <c r="O341" s="183">
        <v>1</v>
      </c>
      <c r="P341" s="10">
        <f>VLOOKUP(D341,A!A$1:O$767,9,FALSE)</f>
        <v>0</v>
      </c>
      <c r="Q341" s="10" t="s">
        <v>593</v>
      </c>
      <c r="R341" s="10">
        <f t="shared" si="35"/>
        <v>0</v>
      </c>
      <c r="S341" s="10" t="str">
        <f>VLOOKUP(D341,A!A$1:AK$767,32,FALSE)</f>
        <v/>
      </c>
      <c r="T341" s="10">
        <v>0.125</v>
      </c>
      <c r="U341" s="10">
        <f t="shared" si="36"/>
        <v>0</v>
      </c>
      <c r="X341" s="10"/>
    </row>
    <row r="342" spans="1:24" ht="11.25" hidden="1" customHeight="1" x14ac:dyDescent="0.25">
      <c r="A342" s="1" t="str">
        <f>IF(R342=0,"",COUNTIF(A$23:A341,"&gt;0")+1)</f>
        <v/>
      </c>
      <c r="B342" s="182"/>
      <c r="C342" s="63" t="s">
        <v>587</v>
      </c>
      <c r="D342" s="64" t="s">
        <v>669</v>
      </c>
      <c r="E342" s="65"/>
      <c r="F342" s="65"/>
      <c r="G342" s="96" t="s">
        <v>198</v>
      </c>
      <c r="H342" s="66" t="s">
        <v>670</v>
      </c>
      <c r="I342" s="67">
        <f>VLOOKUP(D342,A!A$1:O$767,15,FALSE)</f>
        <v>2</v>
      </c>
      <c r="J342" s="67"/>
      <c r="K342" s="68">
        <f>IF(VLOOKUP(D342,A!A$1:O$767,11,FALSE)="y",1,0)</f>
        <v>0</v>
      </c>
      <c r="L342" s="68">
        <f>IF(VLOOKUP(D342,A!A$1:O$767,12,FALSE)="y",1,0)</f>
        <v>0</v>
      </c>
      <c r="M342" s="92" t="str">
        <f>IF(VLOOKUP(D342,A!A$1:O$767,10,FALSE)="y","NEW","")</f>
        <v/>
      </c>
      <c r="N342" s="67">
        <f>VLOOKUP(D342,A!A$1:O$767,13,FALSE)</f>
        <v>0</v>
      </c>
      <c r="O342" s="183">
        <v>1</v>
      </c>
      <c r="P342" s="10">
        <f>VLOOKUP(D342,A!A$1:O$767,9,FALSE)</f>
        <v>0</v>
      </c>
      <c r="Q342" s="10" t="s">
        <v>593</v>
      </c>
      <c r="R342" s="10">
        <f t="shared" si="35"/>
        <v>0</v>
      </c>
      <c r="S342" s="10" t="str">
        <f>VLOOKUP(D342,A!A$1:AK$767,32,FALSE)</f>
        <v/>
      </c>
      <c r="T342" s="10">
        <v>0.125</v>
      </c>
      <c r="U342" s="10">
        <f t="shared" si="36"/>
        <v>0</v>
      </c>
      <c r="X342" s="10"/>
    </row>
    <row r="343" spans="1:24" ht="11.25" hidden="1" customHeight="1" x14ac:dyDescent="0.25">
      <c r="A343" s="1" t="str">
        <f>IF(R343=0,"",COUNTIF(A$23:A342,"&gt;0")+1)</f>
        <v/>
      </c>
      <c r="B343" s="182"/>
      <c r="C343" s="63" t="s">
        <v>587</v>
      </c>
      <c r="D343" s="64" t="s">
        <v>671</v>
      </c>
      <c r="E343" s="65"/>
      <c r="F343" s="65"/>
      <c r="G343" s="96" t="s">
        <v>198</v>
      </c>
      <c r="H343" s="66" t="s">
        <v>672</v>
      </c>
      <c r="I343" s="67">
        <f>VLOOKUP(D343,A!A$1:O$767,15,FALSE)</f>
        <v>2</v>
      </c>
      <c r="J343" s="67"/>
      <c r="K343" s="68">
        <f>IF(VLOOKUP(D343,A!A$1:O$767,11,FALSE)="y",1,0)</f>
        <v>0</v>
      </c>
      <c r="L343" s="68">
        <f>IF(VLOOKUP(D343,A!A$1:O$767,12,FALSE)="y",1,0)</f>
        <v>0</v>
      </c>
      <c r="M343" s="92" t="str">
        <f>IF(VLOOKUP(D343,A!A$1:O$767,10,FALSE)="y","NEW","")</f>
        <v/>
      </c>
      <c r="N343" s="184">
        <f>VLOOKUP(D343,A!A$1:O$767,13,FALSE)</f>
        <v>0</v>
      </c>
      <c r="O343" s="183">
        <v>1</v>
      </c>
      <c r="P343" s="10">
        <f>VLOOKUP(D343,A!A$1:O$767,9,FALSE)</f>
        <v>0</v>
      </c>
      <c r="Q343" s="10" t="s">
        <v>593</v>
      </c>
      <c r="R343" s="10">
        <f t="shared" si="35"/>
        <v>0</v>
      </c>
      <c r="S343" s="10">
        <f>VLOOKUP(D343,A!A$1:AK$767,32,FALSE)</f>
        <v>35</v>
      </c>
      <c r="T343" s="10">
        <v>0.125</v>
      </c>
      <c r="U343" s="10">
        <f t="shared" si="36"/>
        <v>0</v>
      </c>
      <c r="X343" s="10"/>
    </row>
    <row r="344" spans="1:24" ht="11.25" hidden="1" customHeight="1" x14ac:dyDescent="0.25">
      <c r="A344" s="1" t="str">
        <f>IF(R344=0,"",COUNTIF(A$23:A343,"&gt;0")+1)</f>
        <v/>
      </c>
      <c r="B344" s="182"/>
      <c r="C344" s="63" t="s">
        <v>587</v>
      </c>
      <c r="D344" s="64" t="s">
        <v>673</v>
      </c>
      <c r="E344" s="65"/>
      <c r="F344" s="65"/>
      <c r="G344" s="96" t="s">
        <v>198</v>
      </c>
      <c r="H344" s="66" t="s">
        <v>674</v>
      </c>
      <c r="I344" s="67">
        <f>VLOOKUP(D344,A!A$1:O$767,15,FALSE)</f>
        <v>2</v>
      </c>
      <c r="J344" s="67"/>
      <c r="K344" s="68">
        <f>IF(VLOOKUP(D344,A!A$1:O$767,11,FALSE)="y",1,0)</f>
        <v>0</v>
      </c>
      <c r="L344" s="68">
        <f>IF(VLOOKUP(D344,A!A$1:O$767,12,FALSE)="y",1,0)</f>
        <v>0</v>
      </c>
      <c r="M344" s="92" t="str">
        <f>IF(VLOOKUP(D344,A!A$1:O$767,10,FALSE)="y","NEW","")</f>
        <v/>
      </c>
      <c r="N344" s="67">
        <f>VLOOKUP(D344,A!A$1:O$767,13,FALSE)</f>
        <v>0</v>
      </c>
      <c r="O344" s="183">
        <v>1</v>
      </c>
      <c r="P344" s="10">
        <f>VLOOKUP(D344,A!A$1:O$767,9,FALSE)</f>
        <v>0</v>
      </c>
      <c r="Q344" s="10" t="s">
        <v>593</v>
      </c>
      <c r="R344" s="10">
        <f t="shared" si="35"/>
        <v>0</v>
      </c>
      <c r="S344" s="10">
        <f>VLOOKUP(D344,A!A$1:AK$767,32,FALSE)</f>
        <v>35</v>
      </c>
      <c r="T344" s="10">
        <v>0.125</v>
      </c>
      <c r="U344" s="10">
        <f t="shared" si="36"/>
        <v>0</v>
      </c>
      <c r="X344" s="10"/>
    </row>
    <row r="345" spans="1:24" ht="11.25" hidden="1" customHeight="1" x14ac:dyDescent="0.25">
      <c r="A345" s="1" t="str">
        <f>IF(R345=0,"",COUNTIF(A$23:A344,"&gt;0")+1)</f>
        <v/>
      </c>
      <c r="B345" s="182"/>
      <c r="C345" s="63" t="s">
        <v>587</v>
      </c>
      <c r="D345" s="64" t="s">
        <v>675</v>
      </c>
      <c r="E345" s="65"/>
      <c r="F345" s="65"/>
      <c r="G345" s="96" t="s">
        <v>198</v>
      </c>
      <c r="H345" s="66" t="s">
        <v>676</v>
      </c>
      <c r="I345" s="67">
        <f>VLOOKUP(D345,A!A$1:O$767,15,FALSE)</f>
        <v>2</v>
      </c>
      <c r="J345" s="67"/>
      <c r="K345" s="68">
        <f>IF(VLOOKUP(D345,A!A$1:O$767,11,FALSE)="y",1,0)</f>
        <v>0</v>
      </c>
      <c r="L345" s="68">
        <f>IF(VLOOKUP(D345,A!A$1:O$767,12,FALSE)="y",1,0)</f>
        <v>0</v>
      </c>
      <c r="M345" s="92" t="str">
        <f>IF(VLOOKUP(D345,A!A$1:O$767,10,FALSE)="y","NEW","")</f>
        <v/>
      </c>
      <c r="N345" s="67">
        <f>VLOOKUP(D345,A!A$1:O$767,13,FALSE)</f>
        <v>0</v>
      </c>
      <c r="O345" s="183">
        <v>1</v>
      </c>
      <c r="P345" s="10">
        <f>VLOOKUP(D345,A!A$1:O$767,9,FALSE)</f>
        <v>0</v>
      </c>
      <c r="Q345" s="10" t="s">
        <v>593</v>
      </c>
      <c r="R345" s="10">
        <f t="shared" si="35"/>
        <v>0</v>
      </c>
      <c r="S345" s="10" t="str">
        <f>VLOOKUP(D345,A!A$1:AK$767,32,FALSE)</f>
        <v/>
      </c>
      <c r="T345" s="10">
        <v>0.125</v>
      </c>
      <c r="U345" s="10">
        <f t="shared" si="36"/>
        <v>0</v>
      </c>
      <c r="X345" s="10"/>
    </row>
    <row r="346" spans="1:24" ht="11.25" hidden="1" customHeight="1" x14ac:dyDescent="0.25">
      <c r="A346" s="1" t="str">
        <f>IF(R346=0,"",COUNTIF(A$23:A345,"&gt;0")+1)</f>
        <v/>
      </c>
      <c r="B346" s="182"/>
      <c r="C346" s="63" t="s">
        <v>587</v>
      </c>
      <c r="D346" s="64" t="s">
        <v>677</v>
      </c>
      <c r="E346" s="65"/>
      <c r="F346" s="65"/>
      <c r="G346" s="96" t="s">
        <v>198</v>
      </c>
      <c r="H346" s="66" t="s">
        <v>678</v>
      </c>
      <c r="I346" s="67">
        <f>VLOOKUP(D346,A!A$1:O$767,15,FALSE)</f>
        <v>2</v>
      </c>
      <c r="J346" s="67"/>
      <c r="K346" s="68">
        <f>IF(VLOOKUP(D346,A!A$1:O$767,11,FALSE)="y",1,0)</f>
        <v>0</v>
      </c>
      <c r="L346" s="68">
        <f>IF(VLOOKUP(D346,A!A$1:O$767,12,FALSE)="y",1,0)</f>
        <v>0</v>
      </c>
      <c r="M346" s="92" t="str">
        <f>IF(VLOOKUP(D346,A!A$1:O$767,10,FALSE)="y","NEW","")</f>
        <v/>
      </c>
      <c r="N346" s="67">
        <f>VLOOKUP(D346,A!A$1:O$767,13,FALSE)</f>
        <v>0</v>
      </c>
      <c r="O346" s="183">
        <v>1</v>
      </c>
      <c r="P346" s="10">
        <f>VLOOKUP(D346,A!A$1:O$767,9,FALSE)</f>
        <v>0</v>
      </c>
      <c r="Q346" s="10" t="s">
        <v>593</v>
      </c>
      <c r="R346" s="10">
        <f t="shared" si="35"/>
        <v>0</v>
      </c>
      <c r="S346" s="10" t="str">
        <f>VLOOKUP(D346,A!A$1:AK$767,32,FALSE)</f>
        <v/>
      </c>
      <c r="T346" s="10">
        <v>0.125</v>
      </c>
      <c r="U346" s="10">
        <f t="shared" si="36"/>
        <v>0</v>
      </c>
      <c r="X346" s="10"/>
    </row>
    <row r="347" spans="1:24" ht="11.25" hidden="1" customHeight="1" x14ac:dyDescent="0.25">
      <c r="A347" s="1" t="str">
        <f>IF(R347=0,"",COUNTIF(A$23:A346,"&gt;0")+1)</f>
        <v/>
      </c>
      <c r="B347" s="182"/>
      <c r="C347" s="63" t="s">
        <v>587</v>
      </c>
      <c r="D347" s="64" t="s">
        <v>679</v>
      </c>
      <c r="E347" s="65"/>
      <c r="F347" s="65"/>
      <c r="G347" s="96" t="s">
        <v>198</v>
      </c>
      <c r="H347" s="66" t="s">
        <v>680</v>
      </c>
      <c r="I347" s="67">
        <f>VLOOKUP(D347,A!A$1:O$767,15,FALSE)</f>
        <v>2</v>
      </c>
      <c r="J347" s="67"/>
      <c r="K347" s="68">
        <f>IF(VLOOKUP(D347,A!A$1:O$767,11,FALSE)="y",1,0)</f>
        <v>0</v>
      </c>
      <c r="L347" s="68">
        <f>IF(VLOOKUP(D347,A!A$1:O$767,12,FALSE)="y",1,0)</f>
        <v>0</v>
      </c>
      <c r="M347" s="92" t="str">
        <f>IF(VLOOKUP(D347,A!A$1:O$767,10,FALSE)="y","NEW","")</f>
        <v/>
      </c>
      <c r="N347" s="67">
        <f>VLOOKUP(D347,A!A$1:O$767,13,FALSE)</f>
        <v>0</v>
      </c>
      <c r="O347" s="183">
        <v>1</v>
      </c>
      <c r="P347" s="10">
        <f>VLOOKUP(D347,A!A$1:O$767,9,FALSE)</f>
        <v>0</v>
      </c>
      <c r="Q347" s="10" t="s">
        <v>593</v>
      </c>
      <c r="R347" s="10">
        <f t="shared" si="35"/>
        <v>0</v>
      </c>
      <c r="S347" s="10" t="str">
        <f>VLOOKUP(D347,A!A$1:AK$767,32,FALSE)</f>
        <v/>
      </c>
      <c r="T347" s="10">
        <v>0.125</v>
      </c>
      <c r="U347" s="10">
        <f t="shared" si="36"/>
        <v>0</v>
      </c>
      <c r="X347" s="10"/>
    </row>
    <row r="348" spans="1:24" ht="11.25" hidden="1" customHeight="1" x14ac:dyDescent="0.25">
      <c r="A348" s="1" t="str">
        <f>IF(R348=0,"",COUNTIF(A$23:A347,"&gt;0")+1)</f>
        <v/>
      </c>
      <c r="B348" s="182"/>
      <c r="C348" s="63" t="s">
        <v>587</v>
      </c>
      <c r="D348" s="64" t="s">
        <v>681</v>
      </c>
      <c r="E348" s="65"/>
      <c r="F348" s="65"/>
      <c r="G348" s="96" t="s">
        <v>198</v>
      </c>
      <c r="H348" s="66" t="s">
        <v>682</v>
      </c>
      <c r="I348" s="67">
        <f>VLOOKUP(D348,A!A$1:O$767,15,FALSE)</f>
        <v>2</v>
      </c>
      <c r="J348" s="67"/>
      <c r="K348" s="68">
        <f>IF(VLOOKUP(D348,A!A$1:O$767,11,FALSE)="y",1,0)</f>
        <v>0</v>
      </c>
      <c r="L348" s="68">
        <f>IF(VLOOKUP(D348,A!A$1:O$767,12,FALSE)="y",1,0)</f>
        <v>0</v>
      </c>
      <c r="M348" s="92" t="str">
        <f>IF(VLOOKUP(D348,A!A$1:O$767,10,FALSE)="y","NEW","")</f>
        <v/>
      </c>
      <c r="N348" s="67">
        <f>VLOOKUP(D348,A!A$1:O$767,13,FALSE)</f>
        <v>0</v>
      </c>
      <c r="O348" s="183">
        <v>1</v>
      </c>
      <c r="P348" s="10">
        <f>VLOOKUP(D348,A!A$1:O$767,9,FALSE)</f>
        <v>0</v>
      </c>
      <c r="Q348" s="10" t="s">
        <v>593</v>
      </c>
      <c r="R348" s="10">
        <f t="shared" si="35"/>
        <v>0</v>
      </c>
      <c r="S348" s="10">
        <f>VLOOKUP(D348,A!A$1:AK$767,32,FALSE)</f>
        <v>35</v>
      </c>
      <c r="T348" s="10">
        <v>0.125</v>
      </c>
      <c r="U348" s="10">
        <f t="shared" si="36"/>
        <v>0</v>
      </c>
      <c r="X348" s="10"/>
    </row>
    <row r="349" spans="1:24" ht="11.25" hidden="1" customHeight="1" x14ac:dyDescent="0.25">
      <c r="A349" s="1" t="str">
        <f>IF(R349=0,"",COUNTIF(A$23:A348,"&gt;0")+1)</f>
        <v/>
      </c>
      <c r="B349" s="182"/>
      <c r="C349" s="63" t="s">
        <v>587</v>
      </c>
      <c r="D349" s="64" t="s">
        <v>241</v>
      </c>
      <c r="E349" s="65"/>
      <c r="F349" s="65"/>
      <c r="G349" s="96" t="s">
        <v>242</v>
      </c>
      <c r="H349" s="66" t="s">
        <v>243</v>
      </c>
      <c r="I349" s="67">
        <f>VLOOKUP(D349,A!A$1:O$767,15,FALSE)</f>
        <v>0</v>
      </c>
      <c r="J349" s="67"/>
      <c r="K349" s="68">
        <f>IF(VLOOKUP(D349,A!A$1:O$767,11,FALSE)="y",1,0)</f>
        <v>0</v>
      </c>
      <c r="L349" s="68">
        <f>IF(VLOOKUP(D349,A!A$1:O$767,12,FALSE)="y",1,0)</f>
        <v>0</v>
      </c>
      <c r="M349" s="92" t="str">
        <f>IF(VLOOKUP(D349,A!A$1:O$767,10,FALSE)="y","NEW","")</f>
        <v/>
      </c>
      <c r="N349" s="67">
        <f>VLOOKUP(D349,A!A$1:O$767,13,FALSE)</f>
        <v>0</v>
      </c>
      <c r="O349" s="183">
        <v>1</v>
      </c>
      <c r="P349" s="10">
        <f>VLOOKUP(D349,A!A$1:O$767,9,FALSE)</f>
        <v>0</v>
      </c>
      <c r="Q349" s="10" t="s">
        <v>593</v>
      </c>
      <c r="R349" s="10">
        <f t="shared" si="35"/>
        <v>0</v>
      </c>
      <c r="S349" s="10" t="str">
        <f>VLOOKUP(D349,A!A$1:AK$767,32,FALSE)</f>
        <v/>
      </c>
      <c r="T349" s="10">
        <v>0.125</v>
      </c>
      <c r="U349" s="10">
        <f t="shared" si="36"/>
        <v>0</v>
      </c>
      <c r="X349" s="10"/>
    </row>
    <row r="350" spans="1:24" ht="11.25" hidden="1" customHeight="1" x14ac:dyDescent="0.25">
      <c r="A350" s="1" t="str">
        <f>IF(R350=0,"",COUNTIF(A$23:A349,"&gt;0")+1)</f>
        <v/>
      </c>
      <c r="B350" s="182"/>
      <c r="C350" s="63" t="s">
        <v>587</v>
      </c>
      <c r="D350" s="64" t="s">
        <v>683</v>
      </c>
      <c r="E350" s="65"/>
      <c r="F350" s="65"/>
      <c r="G350" s="96" t="s">
        <v>242</v>
      </c>
      <c r="H350" s="66" t="s">
        <v>684</v>
      </c>
      <c r="I350" s="67">
        <f>VLOOKUP(D350,A!A$1:O$767,15,FALSE)</f>
        <v>0</v>
      </c>
      <c r="J350" s="67"/>
      <c r="K350" s="68">
        <f>IF(VLOOKUP(D350,A!A$1:O$767,11,FALSE)="y",1,0)</f>
        <v>0</v>
      </c>
      <c r="L350" s="68">
        <f>IF(VLOOKUP(D350,A!A$1:O$767,12,FALSE)="y",1,0)</f>
        <v>0</v>
      </c>
      <c r="M350" s="92" t="str">
        <f>IF(VLOOKUP(D350,A!A$1:O$767,10,FALSE)="y","NEW","")</f>
        <v/>
      </c>
      <c r="N350" s="67">
        <f>VLOOKUP(D350,A!A$1:O$767,13,FALSE)</f>
        <v>0</v>
      </c>
      <c r="O350" s="183">
        <v>1</v>
      </c>
      <c r="P350" s="10">
        <f>VLOOKUP(D350,A!A$1:O$767,9,FALSE)</f>
        <v>0</v>
      </c>
      <c r="Q350" s="10" t="s">
        <v>593</v>
      </c>
      <c r="R350" s="10">
        <f t="shared" si="35"/>
        <v>0</v>
      </c>
      <c r="S350" s="10" t="str">
        <f>VLOOKUP(D350,A!A$1:AK$767,32,FALSE)</f>
        <v/>
      </c>
      <c r="T350" s="10">
        <v>0.125</v>
      </c>
      <c r="U350" s="10">
        <f t="shared" si="36"/>
        <v>0</v>
      </c>
      <c r="X350" s="10"/>
    </row>
    <row r="351" spans="1:24" ht="11.25" hidden="1" customHeight="1" x14ac:dyDescent="0.25">
      <c r="A351" s="1" t="str">
        <f>IF(R351=0,"",COUNTIF(A$23:A350,"&gt;0")+1)</f>
        <v/>
      </c>
      <c r="B351" s="182"/>
      <c r="C351" s="63" t="s">
        <v>587</v>
      </c>
      <c r="D351" s="64" t="s">
        <v>244</v>
      </c>
      <c r="E351" s="65"/>
      <c r="F351" s="65"/>
      <c r="G351" s="96" t="s">
        <v>242</v>
      </c>
      <c r="H351" s="66" t="s">
        <v>245</v>
      </c>
      <c r="I351" s="67">
        <f>VLOOKUP(D351,A!A$1:O$767,15,FALSE)</f>
        <v>0</v>
      </c>
      <c r="J351" s="67"/>
      <c r="K351" s="68">
        <f>IF(VLOOKUP(D351,A!A$1:O$767,11,FALSE)="y",1,0)</f>
        <v>0</v>
      </c>
      <c r="L351" s="68">
        <f>IF(VLOOKUP(D351,A!A$1:O$767,12,FALSE)="y",1,0)</f>
        <v>0</v>
      </c>
      <c r="M351" s="92" t="str">
        <f>IF(VLOOKUP(D351,A!A$1:O$767,10,FALSE)="y","NEW","")</f>
        <v/>
      </c>
      <c r="N351" s="67">
        <f>VLOOKUP(D351,A!A$1:O$767,13,FALSE)</f>
        <v>0</v>
      </c>
      <c r="O351" s="183">
        <v>1</v>
      </c>
      <c r="P351" s="10">
        <f>VLOOKUP(D351,A!A$1:O$767,9,FALSE)</f>
        <v>0</v>
      </c>
      <c r="Q351" s="10" t="s">
        <v>593</v>
      </c>
      <c r="R351" s="10">
        <f t="shared" si="35"/>
        <v>0</v>
      </c>
      <c r="S351" s="10" t="str">
        <f>VLOOKUP(D351,A!A$1:AK$767,32,FALSE)</f>
        <v/>
      </c>
      <c r="T351" s="10">
        <v>0.125</v>
      </c>
      <c r="U351" s="10">
        <f t="shared" si="36"/>
        <v>0</v>
      </c>
      <c r="X351" s="10"/>
    </row>
    <row r="352" spans="1:24" ht="11.25" hidden="1" customHeight="1" x14ac:dyDescent="0.25">
      <c r="A352" s="1" t="str">
        <f>IF(R352=0,"",COUNTIF(A$23:A351,"&gt;0")+1)</f>
        <v/>
      </c>
      <c r="B352" s="182"/>
      <c r="C352" s="63" t="s">
        <v>587</v>
      </c>
      <c r="D352" s="64" t="s">
        <v>246</v>
      </c>
      <c r="E352" s="65"/>
      <c r="F352" s="65"/>
      <c r="G352" s="96" t="s">
        <v>242</v>
      </c>
      <c r="H352" s="66" t="s">
        <v>247</v>
      </c>
      <c r="I352" s="67">
        <f>VLOOKUP(D352,A!A$1:O$767,15,FALSE)</f>
        <v>0</v>
      </c>
      <c r="J352" s="67"/>
      <c r="K352" s="68">
        <f>IF(VLOOKUP(D352,A!A$1:O$767,11,FALSE)="y",1,0)</f>
        <v>0</v>
      </c>
      <c r="L352" s="68">
        <f>IF(VLOOKUP(D352,A!A$1:O$767,12,FALSE)="y",1,0)</f>
        <v>0</v>
      </c>
      <c r="M352" s="92" t="str">
        <f>IF(VLOOKUP(D352,A!A$1:O$767,10,FALSE)="y","NEW","")</f>
        <v/>
      </c>
      <c r="N352" s="67">
        <f>VLOOKUP(D352,A!A$1:O$767,13,FALSE)</f>
        <v>0</v>
      </c>
      <c r="O352" s="183">
        <v>1</v>
      </c>
      <c r="P352" s="10">
        <f>VLOOKUP(D352,A!A$1:O$767,9,FALSE)</f>
        <v>0</v>
      </c>
      <c r="Q352" s="10" t="s">
        <v>593</v>
      </c>
      <c r="R352" s="10">
        <f t="shared" si="35"/>
        <v>0</v>
      </c>
      <c r="S352" s="10" t="str">
        <f>VLOOKUP(D352,A!A$1:AK$767,32,FALSE)</f>
        <v/>
      </c>
      <c r="T352" s="10">
        <v>0.125</v>
      </c>
      <c r="U352" s="10">
        <f t="shared" si="36"/>
        <v>0</v>
      </c>
      <c r="X352" s="10"/>
    </row>
    <row r="353" spans="1:24" ht="11.25" hidden="1" customHeight="1" x14ac:dyDescent="0.25">
      <c r="A353" s="1" t="str">
        <f>IF(R353=0,"",COUNTIF(A$23:A352,"&gt;0")+1)</f>
        <v/>
      </c>
      <c r="B353" s="182"/>
      <c r="C353" s="63" t="s">
        <v>587</v>
      </c>
      <c r="D353" s="64" t="s">
        <v>685</v>
      </c>
      <c r="E353" s="65"/>
      <c r="F353" s="65"/>
      <c r="G353" s="96" t="s">
        <v>242</v>
      </c>
      <c r="H353" s="66" t="s">
        <v>686</v>
      </c>
      <c r="I353" s="67">
        <f>VLOOKUP(D353,A!A$1:O$767,15,FALSE)</f>
        <v>0</v>
      </c>
      <c r="J353" s="67"/>
      <c r="K353" s="68">
        <f>IF(VLOOKUP(D353,A!A$1:O$767,11,FALSE)="y",1,0)</f>
        <v>0</v>
      </c>
      <c r="L353" s="68">
        <f>IF(VLOOKUP(D353,A!A$1:O$767,12,FALSE)="y",1,0)</f>
        <v>0</v>
      </c>
      <c r="M353" s="92" t="str">
        <f>IF(VLOOKUP(D353,A!A$1:O$767,10,FALSE)="y","NEW","")</f>
        <v/>
      </c>
      <c r="N353" s="67">
        <f>VLOOKUP(D353,A!A$1:O$767,13,FALSE)</f>
        <v>0</v>
      </c>
      <c r="O353" s="183">
        <v>1</v>
      </c>
      <c r="P353" s="10">
        <f>VLOOKUP(D353,A!A$1:O$767,9,FALSE)</f>
        <v>0</v>
      </c>
      <c r="Q353" s="10" t="s">
        <v>593</v>
      </c>
      <c r="R353" s="10">
        <f t="shared" si="35"/>
        <v>0</v>
      </c>
      <c r="S353" s="10" t="str">
        <f>VLOOKUP(D353,A!A$1:AK$767,32,FALSE)</f>
        <v/>
      </c>
      <c r="T353" s="10">
        <v>0.125</v>
      </c>
      <c r="U353" s="10">
        <f t="shared" si="36"/>
        <v>0</v>
      </c>
      <c r="X353" s="10"/>
    </row>
    <row r="354" spans="1:24" ht="11.25" hidden="1" customHeight="1" x14ac:dyDescent="0.25">
      <c r="A354" s="1" t="str">
        <f>IF(R354=0,"",COUNTIF(A$23:A353,"&gt;0")+1)</f>
        <v/>
      </c>
      <c r="B354" s="182"/>
      <c r="C354" s="63" t="s">
        <v>587</v>
      </c>
      <c r="D354" s="64" t="s">
        <v>251</v>
      </c>
      <c r="E354" s="65"/>
      <c r="F354" s="65"/>
      <c r="G354" s="96" t="s">
        <v>242</v>
      </c>
      <c r="H354" s="66" t="s">
        <v>252</v>
      </c>
      <c r="I354" s="67">
        <f>VLOOKUP(D354,A!A$1:O$767,15,FALSE)</f>
        <v>0</v>
      </c>
      <c r="J354" s="67"/>
      <c r="K354" s="68">
        <f>IF(VLOOKUP(D354,A!A$1:O$767,11,FALSE)="y",1,0)</f>
        <v>0</v>
      </c>
      <c r="L354" s="68">
        <f>IF(VLOOKUP(D354,A!A$1:O$767,12,FALSE)="y",1,0)</f>
        <v>0</v>
      </c>
      <c r="M354" s="92" t="str">
        <f>IF(VLOOKUP(D354,A!A$1:O$767,10,FALSE)="y","NEW","")</f>
        <v/>
      </c>
      <c r="N354" s="67">
        <f>VLOOKUP(D354,A!A$1:O$767,13,FALSE)</f>
        <v>0</v>
      </c>
      <c r="O354" s="183">
        <v>1</v>
      </c>
      <c r="P354" s="10">
        <f>VLOOKUP(D354,A!A$1:O$767,9,FALSE)</f>
        <v>0</v>
      </c>
      <c r="Q354" s="10" t="s">
        <v>593</v>
      </c>
      <c r="R354" s="10">
        <f t="shared" si="35"/>
        <v>0</v>
      </c>
      <c r="S354" s="10" t="str">
        <f>VLOOKUP(D354,A!A$1:AK$767,32,FALSE)</f>
        <v/>
      </c>
      <c r="T354" s="10">
        <v>0.125</v>
      </c>
      <c r="U354" s="10">
        <f t="shared" si="36"/>
        <v>0</v>
      </c>
      <c r="X354" s="10"/>
    </row>
    <row r="355" spans="1:24" ht="11.25" hidden="1" customHeight="1" x14ac:dyDescent="0.25">
      <c r="A355" s="1" t="str">
        <f>IF(R355=0,"",COUNTIF(A$23:A354,"&gt;0")+1)</f>
        <v/>
      </c>
      <c r="B355" s="182"/>
      <c r="C355" s="63" t="s">
        <v>587</v>
      </c>
      <c r="D355" s="64" t="s">
        <v>249</v>
      </c>
      <c r="E355" s="65"/>
      <c r="F355" s="65"/>
      <c r="G355" s="96" t="s">
        <v>242</v>
      </c>
      <c r="H355" s="66" t="s">
        <v>250</v>
      </c>
      <c r="I355" s="67">
        <f>VLOOKUP(D355,A!A$1:O$767,15,FALSE)</f>
        <v>0</v>
      </c>
      <c r="J355" s="67"/>
      <c r="K355" s="68">
        <f>IF(VLOOKUP(D355,A!A$1:O$767,11,FALSE)="y",1,0)</f>
        <v>0</v>
      </c>
      <c r="L355" s="68">
        <f>IF(VLOOKUP(D355,A!A$1:O$767,12,FALSE)="y",1,0)</f>
        <v>0</v>
      </c>
      <c r="M355" s="92" t="str">
        <f>IF(VLOOKUP(D355,A!A$1:O$767,10,FALSE)="y","NEW","")</f>
        <v/>
      </c>
      <c r="N355" s="67">
        <f>VLOOKUP(D355,A!A$1:O$767,13,FALSE)</f>
        <v>0</v>
      </c>
      <c r="O355" s="183">
        <v>1</v>
      </c>
      <c r="P355" s="10">
        <f>VLOOKUP(D355,A!A$1:O$767,9,FALSE)</f>
        <v>0</v>
      </c>
      <c r="Q355" s="10" t="s">
        <v>593</v>
      </c>
      <c r="R355" s="10">
        <f t="shared" si="35"/>
        <v>0</v>
      </c>
      <c r="S355" s="10" t="str">
        <f>VLOOKUP(D355,A!A$1:AK$767,32,FALSE)</f>
        <v/>
      </c>
      <c r="T355" s="10">
        <v>0.125</v>
      </c>
      <c r="U355" s="10">
        <f t="shared" si="36"/>
        <v>0</v>
      </c>
      <c r="X355" s="10"/>
    </row>
    <row r="356" spans="1:24" ht="11.25" hidden="1" customHeight="1" x14ac:dyDescent="0.25">
      <c r="A356" s="1" t="str">
        <f>IF(R356=0,"",COUNTIF(A$23:A355,"&gt;0")+1)</f>
        <v/>
      </c>
      <c r="B356" s="182"/>
      <c r="C356" s="63" t="s">
        <v>587</v>
      </c>
      <c r="D356" s="64" t="s">
        <v>687</v>
      </c>
      <c r="E356" s="65"/>
      <c r="F356" s="65"/>
      <c r="G356" s="96" t="s">
        <v>242</v>
      </c>
      <c r="H356" s="66" t="s">
        <v>688</v>
      </c>
      <c r="I356" s="67">
        <f>VLOOKUP(D356,A!A$1:O$767,15,FALSE)</f>
        <v>0</v>
      </c>
      <c r="J356" s="67"/>
      <c r="K356" s="68">
        <f>IF(VLOOKUP(D356,A!A$1:O$767,11,FALSE)="y",1,0)</f>
        <v>0</v>
      </c>
      <c r="L356" s="68">
        <f>IF(VLOOKUP(D356,A!A$1:O$767,12,FALSE)="y",1,0)</f>
        <v>0</v>
      </c>
      <c r="M356" s="92" t="str">
        <f>IF(VLOOKUP(D356,A!A$1:O$767,10,FALSE)="y","NEW","")</f>
        <v/>
      </c>
      <c r="N356" s="67">
        <f>VLOOKUP(D356,A!A$1:O$767,13,FALSE)</f>
        <v>0</v>
      </c>
      <c r="O356" s="183">
        <v>1</v>
      </c>
      <c r="P356" s="10">
        <f>VLOOKUP(D356,A!A$1:O$767,9,FALSE)</f>
        <v>0</v>
      </c>
      <c r="Q356" s="10" t="s">
        <v>593</v>
      </c>
      <c r="R356" s="10">
        <f t="shared" si="35"/>
        <v>0</v>
      </c>
      <c r="S356" s="10" t="str">
        <f>VLOOKUP(D356,A!A$1:AK$767,32,FALSE)</f>
        <v/>
      </c>
      <c r="T356" s="10">
        <v>0.125</v>
      </c>
      <c r="U356" s="10">
        <f t="shared" si="36"/>
        <v>0</v>
      </c>
      <c r="X356" s="10"/>
    </row>
    <row r="357" spans="1:24" ht="11.25" hidden="1" customHeight="1" x14ac:dyDescent="0.25">
      <c r="A357" s="1" t="str">
        <f>IF(R357=0,"",COUNTIF(A$23:A356,"&gt;0")+1)</f>
        <v/>
      </c>
      <c r="B357" s="182"/>
      <c r="C357" s="63" t="s">
        <v>587</v>
      </c>
      <c r="D357" s="64" t="s">
        <v>253</v>
      </c>
      <c r="E357" s="65"/>
      <c r="F357" s="65"/>
      <c r="G357" s="96" t="s">
        <v>242</v>
      </c>
      <c r="H357" s="66" t="s">
        <v>254</v>
      </c>
      <c r="I357" s="67">
        <f>VLOOKUP(D357,A!A$1:O$767,15,FALSE)</f>
        <v>0</v>
      </c>
      <c r="J357" s="67"/>
      <c r="K357" s="68">
        <f>IF(VLOOKUP(D357,A!A$1:O$767,11,FALSE)="y",1,0)</f>
        <v>0</v>
      </c>
      <c r="L357" s="68">
        <f>IF(VLOOKUP(D357,A!A$1:O$767,12,FALSE)="y",1,0)</f>
        <v>0</v>
      </c>
      <c r="M357" s="92" t="str">
        <f>IF(VLOOKUP(D357,A!A$1:O$767,10,FALSE)="y","NEW","")</f>
        <v/>
      </c>
      <c r="N357" s="67">
        <f>VLOOKUP(D357,A!A$1:O$767,13,FALSE)</f>
        <v>0</v>
      </c>
      <c r="O357" s="183">
        <v>1</v>
      </c>
      <c r="P357" s="10">
        <f>VLOOKUP(D357,A!A$1:O$767,9,FALSE)</f>
        <v>0</v>
      </c>
      <c r="Q357" s="10" t="s">
        <v>593</v>
      </c>
      <c r="R357" s="10">
        <f t="shared" si="35"/>
        <v>0</v>
      </c>
      <c r="S357" s="10" t="str">
        <f>VLOOKUP(D357,A!A$1:AK$767,32,FALSE)</f>
        <v/>
      </c>
      <c r="T357" s="10">
        <v>0.125</v>
      </c>
      <c r="U357" s="10">
        <f t="shared" si="36"/>
        <v>0</v>
      </c>
      <c r="X357" s="10"/>
    </row>
    <row r="358" spans="1:24" ht="11.25" hidden="1" customHeight="1" x14ac:dyDescent="0.25">
      <c r="A358" s="1" t="str">
        <f>IF(R358=0,"",COUNTIF(A$23:A357,"&gt;0")+1)</f>
        <v/>
      </c>
      <c r="B358" s="185"/>
      <c r="C358" s="63" t="s">
        <v>587</v>
      </c>
      <c r="D358" s="64" t="s">
        <v>689</v>
      </c>
      <c r="E358" s="65"/>
      <c r="F358" s="65"/>
      <c r="G358" s="186" t="s">
        <v>242</v>
      </c>
      <c r="H358" s="66" t="s">
        <v>256</v>
      </c>
      <c r="I358" s="67">
        <f>VLOOKUP(D358,A!A$1:O$767,15,FALSE)</f>
        <v>0</v>
      </c>
      <c r="J358" s="67"/>
      <c r="K358" s="68">
        <f>IF(VLOOKUP(D358,A!A$1:O$767,11,FALSE)="y",1,0)</f>
        <v>0</v>
      </c>
      <c r="L358" s="68">
        <f>IF(VLOOKUP(D358,A!A$1:O$767,12,FALSE)="y",1,0)</f>
        <v>0</v>
      </c>
      <c r="M358" s="92" t="str">
        <f>IF(VLOOKUP(D358,A!A$1:O$767,10,FALSE)="y","NEW","")</f>
        <v/>
      </c>
      <c r="N358" s="67">
        <f>VLOOKUP(D358,A!A$1:O$767,13,FALSE)</f>
        <v>0</v>
      </c>
      <c r="O358" s="183">
        <v>1</v>
      </c>
      <c r="P358" s="10">
        <f>VLOOKUP(D358,A!A$1:O$767,9,FALSE)</f>
        <v>0</v>
      </c>
      <c r="Q358" s="10" t="s">
        <v>593</v>
      </c>
      <c r="R358" s="10">
        <f t="shared" si="35"/>
        <v>0</v>
      </c>
      <c r="S358" s="10" t="str">
        <f>VLOOKUP(D358,A!A$1:AK$767,32,FALSE)</f>
        <v/>
      </c>
      <c r="T358" s="10">
        <v>0.125</v>
      </c>
      <c r="U358" s="10">
        <f t="shared" si="36"/>
        <v>0</v>
      </c>
      <c r="X358" s="10"/>
    </row>
    <row r="359" spans="1:24" ht="11.25" hidden="1" customHeight="1" x14ac:dyDescent="0.25">
      <c r="A359" s="1" t="str">
        <f>IF(R359=0,"",COUNTIF(A$23:A358,"&gt;0")+1)</f>
        <v/>
      </c>
      <c r="B359" s="185"/>
      <c r="C359" s="63" t="s">
        <v>587</v>
      </c>
      <c r="D359" s="64" t="s">
        <v>255</v>
      </c>
      <c r="E359" s="65"/>
      <c r="F359" s="65"/>
      <c r="G359" s="186" t="s">
        <v>242</v>
      </c>
      <c r="H359" s="66" t="s">
        <v>690</v>
      </c>
      <c r="I359" s="67">
        <f>VLOOKUP(D359,A!A$1:O$767,15,FALSE)</f>
        <v>0</v>
      </c>
      <c r="J359" s="67"/>
      <c r="K359" s="68">
        <f>IF(VLOOKUP(D359,A!A$1:O$767,11,FALSE)="y",1,0)</f>
        <v>0</v>
      </c>
      <c r="L359" s="68">
        <f>IF(VLOOKUP(D359,A!A$1:O$767,12,FALSE)="y",1,0)</f>
        <v>0</v>
      </c>
      <c r="M359" s="92" t="str">
        <f>IF(VLOOKUP(D359,A!A$1:O$767,10,FALSE)="y","NEW","")</f>
        <v/>
      </c>
      <c r="N359" s="67">
        <f>VLOOKUP(D359,A!A$1:O$767,13,FALSE)</f>
        <v>0</v>
      </c>
      <c r="O359" s="183">
        <v>1</v>
      </c>
      <c r="P359" s="10">
        <f>VLOOKUP(D359,A!A$1:O$767,9,FALSE)</f>
        <v>0</v>
      </c>
      <c r="Q359" s="10" t="s">
        <v>593</v>
      </c>
      <c r="R359" s="10">
        <f t="shared" si="35"/>
        <v>0</v>
      </c>
      <c r="S359" s="10" t="str">
        <f>VLOOKUP(D359,A!A$1:AK$767,32,FALSE)</f>
        <v/>
      </c>
      <c r="T359" s="10">
        <v>0.125</v>
      </c>
      <c r="U359" s="10">
        <f t="shared" si="36"/>
        <v>0</v>
      </c>
      <c r="X359" s="10"/>
    </row>
    <row r="360" spans="1:24" ht="11.25" hidden="1" customHeight="1" x14ac:dyDescent="0.25">
      <c r="A360" s="1" t="str">
        <f>IF(R360=0,"",COUNTIF(A$23:A359,"&gt;0")+1)</f>
        <v/>
      </c>
      <c r="B360" s="182"/>
      <c r="C360" s="63" t="s">
        <v>587</v>
      </c>
      <c r="D360" s="64" t="s">
        <v>691</v>
      </c>
      <c r="E360" s="65"/>
      <c r="F360" s="65"/>
      <c r="G360" s="96" t="s">
        <v>692</v>
      </c>
      <c r="H360" s="66" t="s">
        <v>693</v>
      </c>
      <c r="I360" s="67">
        <f>VLOOKUP(D360,A!A$1:O$767,15,FALSE)</f>
        <v>2</v>
      </c>
      <c r="J360" s="67"/>
      <c r="K360" s="68">
        <f>IF(VLOOKUP(D360,A!A$1:O$767,11,FALSE)="y",1,0)</f>
        <v>0</v>
      </c>
      <c r="L360" s="68">
        <f>IF(VLOOKUP(D360,A!A$1:O$767,12,FALSE)="y",1,0)</f>
        <v>0</v>
      </c>
      <c r="M360" s="92" t="str">
        <f>IF(VLOOKUP(D360,A!A$1:O$767,10,FALSE)="y","NEW","")</f>
        <v/>
      </c>
      <c r="N360" s="67">
        <f>VLOOKUP(D360,A!A$1:O$767,13,FALSE)</f>
        <v>0</v>
      </c>
      <c r="O360" s="183">
        <v>1</v>
      </c>
      <c r="P360" s="10">
        <f>VLOOKUP(D360,A!A$1:O$767,9,FALSE)</f>
        <v>0</v>
      </c>
      <c r="Q360" s="10" t="s">
        <v>593</v>
      </c>
      <c r="R360" s="10">
        <f t="shared" si="35"/>
        <v>0</v>
      </c>
      <c r="S360" s="10" t="str">
        <f>VLOOKUP(D360,A!A$1:AK$767,32,FALSE)</f>
        <v/>
      </c>
      <c r="T360" s="10">
        <v>0.125</v>
      </c>
      <c r="U360" s="10">
        <f t="shared" si="36"/>
        <v>0</v>
      </c>
      <c r="X360" s="10"/>
    </row>
    <row r="361" spans="1:24" ht="11.25" customHeight="1" x14ac:dyDescent="0.25">
      <c r="A361" s="1" t="str">
        <f>IF(R361=0,"",COUNTIF(A$23:A360,"&gt;0")+1)</f>
        <v/>
      </c>
      <c r="B361" s="182"/>
      <c r="C361" s="63" t="s">
        <v>587</v>
      </c>
      <c r="D361" s="64" t="s">
        <v>694</v>
      </c>
      <c r="E361" s="65"/>
      <c r="F361" s="65"/>
      <c r="G361" s="97" t="s">
        <v>283</v>
      </c>
      <c r="H361" s="66" t="s">
        <v>695</v>
      </c>
      <c r="I361" s="67">
        <f>VLOOKUP(D361,A!A$1:O$767,15,FALSE)</f>
        <v>1</v>
      </c>
      <c r="J361" s="67"/>
      <c r="K361" s="68">
        <f>IF(VLOOKUP(D361,A!A$1:O$767,11,FALSE)="y",1,0)</f>
        <v>1</v>
      </c>
      <c r="L361" s="68">
        <f>IF(VLOOKUP(D361,A!A$1:O$767,12,FALSE)="y",1,0)</f>
        <v>0</v>
      </c>
      <c r="M361" s="711" t="s">
        <v>726</v>
      </c>
      <c r="N361" s="67">
        <f>VLOOKUP(D361,A!A$1:O$767,13,FALSE)</f>
        <v>0</v>
      </c>
      <c r="O361" s="183">
        <v>1</v>
      </c>
      <c r="P361" s="10" t="str">
        <f>VLOOKUP(D361,A!A$1:O$767,9,FALSE)</f>
        <v>y</v>
      </c>
      <c r="Q361" s="10" t="s">
        <v>593</v>
      </c>
      <c r="R361" s="10">
        <f t="shared" si="35"/>
        <v>0</v>
      </c>
      <c r="S361" s="10">
        <f>VLOOKUP(D361,A!A$1:AK$767,32,FALSE)</f>
        <v>35</v>
      </c>
      <c r="T361" s="10">
        <v>0.125</v>
      </c>
      <c r="U361" s="10">
        <f t="shared" si="36"/>
        <v>0</v>
      </c>
      <c r="X361" s="10"/>
    </row>
    <row r="362" spans="1:24" ht="11.25" hidden="1" customHeight="1" x14ac:dyDescent="0.25">
      <c r="A362" s="1" t="str">
        <f>IF(R362=0,"",COUNTIF(A$23:A361,"&gt;0")+1)</f>
        <v/>
      </c>
      <c r="B362" s="182"/>
      <c r="C362" s="63" t="s">
        <v>587</v>
      </c>
      <c r="D362" s="64" t="s">
        <v>696</v>
      </c>
      <c r="E362" s="65"/>
      <c r="F362" s="65"/>
      <c r="G362" s="96" t="s">
        <v>697</v>
      </c>
      <c r="H362" s="66" t="s">
        <v>698</v>
      </c>
      <c r="I362" s="67">
        <f>VLOOKUP(D362,A!A$1:O$767,15,FALSE)</f>
        <v>2</v>
      </c>
      <c r="J362" s="67"/>
      <c r="K362" s="68">
        <f>IF(VLOOKUP(D362,A!A$1:O$767,11,FALSE)="y",1,0)</f>
        <v>0</v>
      </c>
      <c r="L362" s="68">
        <f>IF(VLOOKUP(D362,A!A$1:O$767,12,FALSE)="y",1,0)</f>
        <v>0</v>
      </c>
      <c r="M362" s="92" t="str">
        <f>IF(VLOOKUP(D362,A!A$1:O$767,10,FALSE)="y","NEW","")</f>
        <v/>
      </c>
      <c r="N362" s="67">
        <f>VLOOKUP(D362,A!A$1:O$767,13,FALSE)</f>
        <v>0</v>
      </c>
      <c r="O362" s="183">
        <v>1</v>
      </c>
      <c r="P362" s="10">
        <f>VLOOKUP(D362,A!A$1:O$767,9,FALSE)</f>
        <v>0</v>
      </c>
      <c r="Q362" s="10" t="s">
        <v>593</v>
      </c>
      <c r="R362" s="10">
        <f t="shared" si="35"/>
        <v>0</v>
      </c>
      <c r="S362" s="10" t="str">
        <f>VLOOKUP(D362,A!A$1:AK$767,32,FALSE)</f>
        <v/>
      </c>
      <c r="T362" s="10">
        <v>0.125</v>
      </c>
      <c r="U362" s="10">
        <f t="shared" si="36"/>
        <v>0</v>
      </c>
      <c r="X362" s="10"/>
    </row>
    <row r="363" spans="1:24" ht="11.25" hidden="1" customHeight="1" x14ac:dyDescent="0.25">
      <c r="A363" s="1" t="str">
        <f>IF(R363=0,"",COUNTIF(A$23:A362,"&gt;0")+1)</f>
        <v/>
      </c>
      <c r="B363" s="182"/>
      <c r="C363" s="63" t="s">
        <v>587</v>
      </c>
      <c r="D363" s="64" t="s">
        <v>699</v>
      </c>
      <c r="E363" s="65"/>
      <c r="F363" s="65"/>
      <c r="G363" s="96" t="s">
        <v>700</v>
      </c>
      <c r="H363" s="66" t="s">
        <v>701</v>
      </c>
      <c r="I363" s="67">
        <f>VLOOKUP(D363,A!A$1:O$767,15,FALSE)</f>
        <v>2</v>
      </c>
      <c r="J363" s="67"/>
      <c r="K363" s="68">
        <f>IF(VLOOKUP(D363,A!A$1:O$767,11,FALSE)="y",1,0)</f>
        <v>0</v>
      </c>
      <c r="L363" s="68">
        <f>IF(VLOOKUP(D363,A!A$1:O$767,12,FALSE)="y",1,0)</f>
        <v>0</v>
      </c>
      <c r="M363" s="92" t="str">
        <f>IF(VLOOKUP(D363,A!A$1:O$767,10,FALSE)="y","NEW","")</f>
        <v/>
      </c>
      <c r="N363" s="67">
        <f>VLOOKUP(D363,A!A$1:O$767,13,FALSE)</f>
        <v>0</v>
      </c>
      <c r="O363" s="183">
        <v>1</v>
      </c>
      <c r="P363" s="10">
        <f>VLOOKUP(D363,A!A$1:O$767,9,FALSE)</f>
        <v>0</v>
      </c>
      <c r="Q363" s="10" t="s">
        <v>593</v>
      </c>
      <c r="R363" s="10">
        <f t="shared" si="35"/>
        <v>0</v>
      </c>
      <c r="S363" s="10" t="str">
        <f>VLOOKUP(D363,A!A$1:AK$767,32,FALSE)</f>
        <v/>
      </c>
      <c r="T363" s="10">
        <v>0.125</v>
      </c>
      <c r="U363" s="10">
        <f t="shared" si="36"/>
        <v>0</v>
      </c>
      <c r="X363" s="10"/>
    </row>
    <row r="364" spans="1:24" ht="11.25" hidden="1" customHeight="1" x14ac:dyDescent="0.25">
      <c r="A364" s="1" t="str">
        <f>IF(R364=0,"",COUNTIF(A$23:A363,"&gt;0")+1)</f>
        <v/>
      </c>
      <c r="B364" s="182"/>
      <c r="C364" s="63" t="s">
        <v>587</v>
      </c>
      <c r="D364" s="64" t="s">
        <v>702</v>
      </c>
      <c r="E364" s="65"/>
      <c r="F364" s="65"/>
      <c r="G364" s="186" t="s">
        <v>703</v>
      </c>
      <c r="H364" s="66" t="s">
        <v>704</v>
      </c>
      <c r="I364" s="67">
        <f>VLOOKUP(D364,A!A$1:O$767,15,FALSE)</f>
        <v>2</v>
      </c>
      <c r="J364" s="67"/>
      <c r="K364" s="68">
        <f>IF(VLOOKUP(D364,A!A$1:O$767,11,FALSE)="y",1,0)</f>
        <v>0</v>
      </c>
      <c r="L364" s="68">
        <f>IF(VLOOKUP(D364,A!A$1:O$767,12,FALSE)="y",1,0)</f>
        <v>0</v>
      </c>
      <c r="M364" s="92" t="str">
        <f>IF(VLOOKUP(D364,A!A$1:O$767,10,FALSE)="y","NEW","")</f>
        <v/>
      </c>
      <c r="N364" s="67">
        <f>VLOOKUP(D364,A!A$1:O$767,13,FALSE)</f>
        <v>0</v>
      </c>
      <c r="O364" s="183">
        <v>1</v>
      </c>
      <c r="P364" s="10">
        <f>VLOOKUP(D364,A!A$1:O$767,9,FALSE)</f>
        <v>0</v>
      </c>
      <c r="Q364" s="10" t="s">
        <v>593</v>
      </c>
      <c r="R364" s="10">
        <f t="shared" si="35"/>
        <v>0</v>
      </c>
      <c r="S364" s="10" t="str">
        <f>VLOOKUP(D364,A!A$1:AK$767,32,FALSE)</f>
        <v/>
      </c>
      <c r="T364" s="10">
        <v>0.125</v>
      </c>
      <c r="U364" s="10">
        <f t="shared" si="36"/>
        <v>0</v>
      </c>
      <c r="X364" s="10"/>
    </row>
    <row r="365" spans="1:24" ht="11.25" hidden="1" customHeight="1" x14ac:dyDescent="0.25">
      <c r="A365" s="1" t="str">
        <f>IF(R365=0,"",COUNTIF(A$23:A364,"&gt;0")+1)</f>
        <v/>
      </c>
      <c r="B365" s="187"/>
      <c r="C365" s="63" t="s">
        <v>587</v>
      </c>
      <c r="D365" s="64" t="s">
        <v>705</v>
      </c>
      <c r="E365" s="65"/>
      <c r="F365" s="65"/>
      <c r="G365" s="186" t="s">
        <v>706</v>
      </c>
      <c r="H365" s="66" t="s">
        <v>707</v>
      </c>
      <c r="I365" s="67">
        <f>VLOOKUP(D365,A!A$1:O$767,15,FALSE)</f>
        <v>2</v>
      </c>
      <c r="J365" s="67"/>
      <c r="K365" s="68">
        <f>IF(VLOOKUP(D365,A!A$1:O$767,11,FALSE)="y",1,0)</f>
        <v>0</v>
      </c>
      <c r="L365" s="68">
        <f>IF(VLOOKUP(D365,A!A$1:O$767,12,FALSE)="y",1,0)</f>
        <v>0</v>
      </c>
      <c r="M365" s="92" t="str">
        <f>IF(VLOOKUP(D365,A!A$1:O$767,10,FALSE)="y","NEW","")</f>
        <v/>
      </c>
      <c r="N365" s="67">
        <f>VLOOKUP(D365,A!A$1:O$767,13,FALSE)</f>
        <v>0</v>
      </c>
      <c r="O365" s="183">
        <v>1</v>
      </c>
      <c r="P365" s="10">
        <f>VLOOKUP(D365,A!A$1:O$767,9,FALSE)</f>
        <v>0</v>
      </c>
      <c r="Q365" s="10" t="s">
        <v>593</v>
      </c>
      <c r="R365" s="10">
        <f t="shared" ref="R365:R374" si="37">B365</f>
        <v>0</v>
      </c>
      <c r="S365" s="10" t="str">
        <f>VLOOKUP(D365,A!A$1:AK$767,32,FALSE)</f>
        <v/>
      </c>
      <c r="T365" s="10">
        <v>0.125</v>
      </c>
      <c r="U365" s="10">
        <f t="shared" ref="U365:U373" si="38">T365*B365</f>
        <v>0</v>
      </c>
      <c r="X365" s="10"/>
    </row>
    <row r="366" spans="1:24" ht="11.25" hidden="1" customHeight="1" x14ac:dyDescent="0.25">
      <c r="A366" s="1" t="str">
        <f>IF(R366=0,"",COUNTIF(A$23:A365,"&gt;0")+1)</f>
        <v/>
      </c>
      <c r="B366" s="187"/>
      <c r="C366" s="63" t="s">
        <v>587</v>
      </c>
      <c r="D366" s="64" t="s">
        <v>708</v>
      </c>
      <c r="E366" s="65"/>
      <c r="F366" s="65"/>
      <c r="G366" s="186" t="s">
        <v>706</v>
      </c>
      <c r="H366" s="66" t="s">
        <v>709</v>
      </c>
      <c r="I366" s="67">
        <f>VLOOKUP(D366,A!A$1:O$767,15,FALSE)</f>
        <v>2</v>
      </c>
      <c r="J366" s="67"/>
      <c r="K366" s="68">
        <f>IF(VLOOKUP(D366,A!A$1:O$767,11,FALSE)="y",1,0)</f>
        <v>0</v>
      </c>
      <c r="L366" s="68">
        <f>IF(VLOOKUP(D366,A!A$1:O$767,12,FALSE)="y",1,0)</f>
        <v>0</v>
      </c>
      <c r="M366" s="92" t="str">
        <f>IF(VLOOKUP(D366,A!A$1:O$767,10,FALSE)="y","NEW","")</f>
        <v/>
      </c>
      <c r="N366" s="67">
        <f>VLOOKUP(D366,A!A$1:O$767,13,FALSE)</f>
        <v>0</v>
      </c>
      <c r="O366" s="183">
        <v>1</v>
      </c>
      <c r="P366" s="10">
        <f>VLOOKUP(D366,A!A$1:O$767,9,FALSE)</f>
        <v>0</v>
      </c>
      <c r="Q366" s="10" t="s">
        <v>593</v>
      </c>
      <c r="R366" s="10">
        <f t="shared" si="37"/>
        <v>0</v>
      </c>
      <c r="S366" s="10" t="str">
        <f>VLOOKUP(D366,A!A$1:AK$767,32,FALSE)</f>
        <v/>
      </c>
      <c r="T366" s="10">
        <v>0.125</v>
      </c>
      <c r="U366" s="10">
        <f t="shared" si="38"/>
        <v>0</v>
      </c>
      <c r="X366" s="10"/>
    </row>
    <row r="367" spans="1:24" ht="11.25" hidden="1" customHeight="1" x14ac:dyDescent="0.25">
      <c r="A367" s="1" t="str">
        <f>IF(R367=0,"",COUNTIF(A$23:A366,"&gt;0")+1)</f>
        <v/>
      </c>
      <c r="B367" s="187"/>
      <c r="C367" s="63" t="s">
        <v>587</v>
      </c>
      <c r="D367" s="64" t="s">
        <v>420</v>
      </c>
      <c r="E367" s="65"/>
      <c r="F367" s="65"/>
      <c r="G367" s="763" t="s">
        <v>421</v>
      </c>
      <c r="H367" s="66" t="s">
        <v>422</v>
      </c>
      <c r="I367" s="67">
        <f>VLOOKUP(D367,A!A$1:O$767,15,FALSE)</f>
        <v>1</v>
      </c>
      <c r="J367" s="67"/>
      <c r="K367" s="68">
        <f>IF(VLOOKUP(D367,A!A$1:O$767,11,FALSE)="y",1,0)</f>
        <v>0</v>
      </c>
      <c r="L367" s="68">
        <f>IF(VLOOKUP(D367,A!A$1:O$767,12,FALSE)="y",1,0)</f>
        <v>0</v>
      </c>
      <c r="M367" s="711" t="str">
        <f>IF(VLOOKUP(D367,A!A$1:O$767,10,FALSE)="y","NEW","")</f>
        <v/>
      </c>
      <c r="N367" s="67">
        <f>VLOOKUP(D367,A!A$1:O$767,13,FALSE)</f>
        <v>0</v>
      </c>
      <c r="O367" s="183">
        <v>1</v>
      </c>
      <c r="P367" s="10">
        <f>VLOOKUP(D367,A!A$1:O$767,9,FALSE)</f>
        <v>0</v>
      </c>
      <c r="Q367" s="10" t="s">
        <v>593</v>
      </c>
      <c r="R367" s="10">
        <f t="shared" si="37"/>
        <v>0</v>
      </c>
      <c r="S367" s="10">
        <f>VLOOKUP(D367,A!A$1:AK$767,32,FALSE)</f>
        <v>55</v>
      </c>
      <c r="T367" s="10">
        <v>0.125</v>
      </c>
      <c r="U367" s="10">
        <f t="shared" si="38"/>
        <v>0</v>
      </c>
      <c r="X367" s="10"/>
    </row>
    <row r="368" spans="1:24" ht="11.25" hidden="1" customHeight="1" x14ac:dyDescent="0.25">
      <c r="A368" s="1" t="str">
        <f>IF(R368=0,"",COUNTIF(A$23:A367,"&gt;0")+1)</f>
        <v/>
      </c>
      <c r="B368" s="182"/>
      <c r="C368" s="63" t="s">
        <v>587</v>
      </c>
      <c r="D368" s="64" t="s">
        <v>710</v>
      </c>
      <c r="E368" s="65"/>
      <c r="F368" s="65"/>
      <c r="G368" s="96" t="s">
        <v>711</v>
      </c>
      <c r="H368" s="66" t="s">
        <v>712</v>
      </c>
      <c r="I368" s="67">
        <f>VLOOKUP(D368,A!A$1:O$767,15,FALSE)</f>
        <v>2</v>
      </c>
      <c r="J368" s="67"/>
      <c r="K368" s="68">
        <f>IF(VLOOKUP(D368,A!A$1:O$767,11,FALSE)="y",1,0)</f>
        <v>0</v>
      </c>
      <c r="L368" s="68">
        <f>IF(VLOOKUP(D368,A!A$1:O$767,12,FALSE)="y",1,0)</f>
        <v>0</v>
      </c>
      <c r="M368" s="92" t="str">
        <f>IF(VLOOKUP(D368,A!A$1:O$767,10,FALSE)="y","NEW","")</f>
        <v/>
      </c>
      <c r="N368" s="67">
        <f>VLOOKUP(D368,A!A$1:O$767,13,FALSE)</f>
        <v>0</v>
      </c>
      <c r="O368" s="183">
        <v>1</v>
      </c>
      <c r="P368" s="10">
        <f>VLOOKUP(D368,A!A$1:O$767,9,FALSE)</f>
        <v>0</v>
      </c>
      <c r="Q368" s="10" t="s">
        <v>593</v>
      </c>
      <c r="R368" s="10">
        <f t="shared" si="37"/>
        <v>0</v>
      </c>
      <c r="S368" s="10">
        <f>VLOOKUP(D368,A!A$1:AK$767,32,FALSE)</f>
        <v>35</v>
      </c>
      <c r="T368" s="10">
        <v>0.125</v>
      </c>
      <c r="U368" s="10">
        <f t="shared" si="38"/>
        <v>0</v>
      </c>
      <c r="X368" s="10"/>
    </row>
    <row r="369" spans="1:24" ht="11.25" customHeight="1" x14ac:dyDescent="0.25">
      <c r="A369" s="1" t="str">
        <f>IF(R369=0,"",COUNTIF(A$23:A368,"&gt;0")+1)</f>
        <v/>
      </c>
      <c r="B369" s="182"/>
      <c r="C369" s="63" t="s">
        <v>587</v>
      </c>
      <c r="D369" s="64" t="s">
        <v>443</v>
      </c>
      <c r="E369" s="65"/>
      <c r="F369" s="65"/>
      <c r="G369" s="96" t="s">
        <v>444</v>
      </c>
      <c r="H369" s="66" t="s">
        <v>445</v>
      </c>
      <c r="I369" s="67">
        <f>VLOOKUP(D369,A!A$1:O$767,15,FALSE)</f>
        <v>1</v>
      </c>
      <c r="J369" s="67"/>
      <c r="K369" s="68">
        <f>IF(VLOOKUP(D369,A!A$1:O$767,11,FALSE)="y",1,0)</f>
        <v>1</v>
      </c>
      <c r="L369" s="68">
        <f>IF(VLOOKUP(D369,A!A$1:O$767,12,FALSE)="y",1,0)</f>
        <v>0</v>
      </c>
      <c r="M369" s="711"/>
      <c r="N369" s="67">
        <f>VLOOKUP(D369,A!A$1:O$767,13,FALSE)</f>
        <v>0</v>
      </c>
      <c r="O369" s="183">
        <v>1</v>
      </c>
      <c r="P369" s="10" t="str">
        <f>VLOOKUP(D369,A!A$1:O$767,9,FALSE)</f>
        <v>y</v>
      </c>
      <c r="Q369" s="10" t="s">
        <v>593</v>
      </c>
      <c r="R369" s="10">
        <f t="shared" si="37"/>
        <v>0</v>
      </c>
      <c r="S369" s="10">
        <f>VLOOKUP(D369,A!A$1:AK$767,32,FALSE)</f>
        <v>35</v>
      </c>
      <c r="T369" s="10">
        <v>0.125</v>
      </c>
      <c r="U369" s="10">
        <f t="shared" si="38"/>
        <v>0</v>
      </c>
      <c r="X369" s="10"/>
    </row>
    <row r="370" spans="1:24" ht="11.25" hidden="1" customHeight="1" x14ac:dyDescent="0.25">
      <c r="A370" s="1" t="str">
        <f>IF(R370=0,"",COUNTIF(A$23:A369,"&gt;0")+1)</f>
        <v/>
      </c>
      <c r="B370" s="182"/>
      <c r="C370" s="63" t="s">
        <v>587</v>
      </c>
      <c r="D370" s="64" t="s">
        <v>446</v>
      </c>
      <c r="E370" s="65"/>
      <c r="F370" s="65"/>
      <c r="G370" s="96" t="s">
        <v>447</v>
      </c>
      <c r="H370" s="66" t="s">
        <v>448</v>
      </c>
      <c r="I370" s="67">
        <f>VLOOKUP(D370,A!A$1:O$767,15,FALSE)</f>
        <v>1</v>
      </c>
      <c r="J370" s="67"/>
      <c r="K370" s="68">
        <f>IF(VLOOKUP(D370,A!A$1:O$767,11,FALSE)="y",1,0)</f>
        <v>0</v>
      </c>
      <c r="L370" s="68">
        <f>IF(VLOOKUP(D370,A!A$1:O$767,12,FALSE)="y",1,0)</f>
        <v>0</v>
      </c>
      <c r="M370" s="711"/>
      <c r="N370" s="67">
        <f>VLOOKUP(D370,A!A$1:O$767,13,FALSE)</f>
        <v>0</v>
      </c>
      <c r="O370" s="183">
        <v>1</v>
      </c>
      <c r="P370" s="10">
        <f>VLOOKUP(D370,A!A$1:O$767,9,FALSE)</f>
        <v>0</v>
      </c>
      <c r="Q370" s="10" t="s">
        <v>593</v>
      </c>
      <c r="R370" s="10">
        <f t="shared" si="37"/>
        <v>0</v>
      </c>
      <c r="S370" s="10">
        <f>VLOOKUP(D370,A!A$1:AK$767,32,FALSE)</f>
        <v>35</v>
      </c>
      <c r="T370" s="10">
        <v>0.125</v>
      </c>
      <c r="U370" s="10">
        <f t="shared" si="38"/>
        <v>0</v>
      </c>
      <c r="X370" s="10"/>
    </row>
    <row r="371" spans="1:24" ht="11.45" customHeight="1" x14ac:dyDescent="0.25">
      <c r="A371" s="1" t="str">
        <f>IF(R371=0,"",COUNTIF(A$23:A370,"&gt;0")+1)</f>
        <v/>
      </c>
      <c r="B371" s="182"/>
      <c r="C371" s="63" t="s">
        <v>587</v>
      </c>
      <c r="D371" s="64" t="s">
        <v>449</v>
      </c>
      <c r="E371" s="65"/>
      <c r="F371" s="65"/>
      <c r="G371" s="96" t="s">
        <v>450</v>
      </c>
      <c r="H371" s="66" t="s">
        <v>451</v>
      </c>
      <c r="I371" s="67">
        <f>VLOOKUP(D371,A!A$1:O$767,15,FALSE)</f>
        <v>1</v>
      </c>
      <c r="J371" s="67"/>
      <c r="K371" s="68">
        <f>IF(VLOOKUP(D371,A!A$1:O$767,11,FALSE)="y",1,0)</f>
        <v>1</v>
      </c>
      <c r="L371" s="68">
        <f>IF(VLOOKUP(D371,A!A$1:O$767,12,FALSE)="y",1,0)</f>
        <v>0</v>
      </c>
      <c r="M371" s="711"/>
      <c r="N371" s="67">
        <f>VLOOKUP(D371,A!A$1:O$767,13,FALSE)</f>
        <v>0</v>
      </c>
      <c r="O371" s="183">
        <v>1</v>
      </c>
      <c r="P371" s="10" t="str">
        <f>VLOOKUP(D371,A!A$1:O$767,9,FALSE)</f>
        <v>y</v>
      </c>
      <c r="Q371" s="10" t="s">
        <v>593</v>
      </c>
      <c r="R371" s="10">
        <f t="shared" si="37"/>
        <v>0</v>
      </c>
      <c r="S371" s="10">
        <f>VLOOKUP(D371,A!A$1:AK$767,32,FALSE)</f>
        <v>35</v>
      </c>
      <c r="T371" s="10">
        <v>0.125</v>
      </c>
      <c r="U371" s="10">
        <f t="shared" si="38"/>
        <v>0</v>
      </c>
      <c r="X371" s="10"/>
    </row>
    <row r="372" spans="1:24" ht="12" customHeight="1" thickBot="1" x14ac:dyDescent="0.3">
      <c r="A372" s="1" t="str">
        <f>IF(R372=0,"",COUNTIF(A$23:A371,"&gt;0")+1)</f>
        <v/>
      </c>
      <c r="B372" s="182"/>
      <c r="C372" s="63" t="s">
        <v>587</v>
      </c>
      <c r="D372" s="64" t="s">
        <v>452</v>
      </c>
      <c r="E372" s="65"/>
      <c r="F372" s="65"/>
      <c r="G372" s="96" t="s">
        <v>453</v>
      </c>
      <c r="H372" s="66" t="s">
        <v>454</v>
      </c>
      <c r="I372" s="67">
        <f>VLOOKUP(D372,A!A$1:O$767,15,FALSE)</f>
        <v>1</v>
      </c>
      <c r="J372" s="67"/>
      <c r="K372" s="68">
        <f>IF(VLOOKUP(D372,A!A$1:O$767,11,FALSE)="y",1,0)</f>
        <v>1</v>
      </c>
      <c r="L372" s="68">
        <f>IF(VLOOKUP(D372,A!A$1:O$767,12,FALSE)="y",1,0)</f>
        <v>0</v>
      </c>
      <c r="M372" s="711"/>
      <c r="N372" s="67">
        <f>VLOOKUP(D372,A!A$1:O$767,13,FALSE)</f>
        <v>0</v>
      </c>
      <c r="O372" s="183">
        <v>1</v>
      </c>
      <c r="P372" s="10" t="str">
        <f>VLOOKUP(D372,A!A$1:O$767,9,FALSE)</f>
        <v>y</v>
      </c>
      <c r="Q372" s="10" t="s">
        <v>593</v>
      </c>
      <c r="R372" s="10">
        <f t="shared" si="37"/>
        <v>0</v>
      </c>
      <c r="S372" s="10">
        <f>VLOOKUP(D372,A!A$1:AK$767,32,FALSE)</f>
        <v>35</v>
      </c>
      <c r="T372" s="10">
        <v>0.125</v>
      </c>
      <c r="U372" s="10">
        <f t="shared" si="38"/>
        <v>0</v>
      </c>
      <c r="X372" s="10"/>
    </row>
    <row r="373" spans="1:24" ht="11.25" hidden="1" customHeight="1" thickBot="1" x14ac:dyDescent="0.3">
      <c r="A373" s="1" t="str">
        <f>IF(R373=0,"",COUNTIF(A$23:A372,"&gt;0")+1)</f>
        <v/>
      </c>
      <c r="B373" s="188"/>
      <c r="C373" s="189" t="s">
        <v>587</v>
      </c>
      <c r="D373" s="190" t="s">
        <v>479</v>
      </c>
      <c r="E373" s="191"/>
      <c r="F373" s="191"/>
      <c r="G373" s="192" t="s">
        <v>480</v>
      </c>
      <c r="H373" s="193" t="s">
        <v>481</v>
      </c>
      <c r="I373" s="194">
        <f>VLOOKUP(D373,A!A$1:O$767,15,FALSE)</f>
        <v>2</v>
      </c>
      <c r="J373" s="194"/>
      <c r="K373" s="195">
        <f>IF(VLOOKUP(D373,A!A$1:O$767,11,FALSE)="y",1,0)</f>
        <v>0</v>
      </c>
      <c r="L373" s="195">
        <f>IF(VLOOKUP(D373,A!A$1:O$767,12,FALSE)="y",1,0)</f>
        <v>0</v>
      </c>
      <c r="M373" s="196" t="str">
        <f>IF(VLOOKUP(D373,A!A$1:O$767,10,FALSE)="y","NEW","")</f>
        <v/>
      </c>
      <c r="N373" s="194">
        <f>VLOOKUP(D373,A!A$1:O$767,13,FALSE)</f>
        <v>0</v>
      </c>
      <c r="O373" s="197">
        <v>1</v>
      </c>
      <c r="P373" s="10">
        <f>VLOOKUP(D373,A!A$1:O$767,9,FALSE)</f>
        <v>0</v>
      </c>
      <c r="Q373" s="10" t="s">
        <v>593</v>
      </c>
      <c r="R373" s="10">
        <f t="shared" si="37"/>
        <v>0</v>
      </c>
      <c r="S373" s="10">
        <f>VLOOKUP(D373,A!A$1:AK$767,32,FALSE)</f>
        <v>35</v>
      </c>
      <c r="T373" s="10">
        <v>0.125</v>
      </c>
      <c r="U373" s="10">
        <f t="shared" si="38"/>
        <v>0</v>
      </c>
      <c r="X373" s="10"/>
    </row>
    <row r="374" spans="1:24" x14ac:dyDescent="0.25">
      <c r="A374" s="1" t="str">
        <f>IF(R374=0,"",COUNTIF(A$23:A373,"&gt;0")+1)</f>
        <v/>
      </c>
      <c r="B374" s="198">
        <f>SUM(B296:B373)</f>
        <v>0</v>
      </c>
      <c r="C374" s="199" t="s">
        <v>587</v>
      </c>
      <c r="D374" s="200" t="s">
        <v>713</v>
      </c>
      <c r="E374" s="201"/>
      <c r="F374" s="201"/>
      <c r="G374" s="201"/>
      <c r="H374" s="201"/>
      <c r="I374" s="201"/>
      <c r="J374" s="201"/>
      <c r="K374" s="201"/>
      <c r="L374" s="201"/>
      <c r="M374" s="202"/>
      <c r="N374" s="201"/>
      <c r="O374" s="203"/>
      <c r="P374" s="10"/>
      <c r="Q374" s="10" t="s">
        <v>593</v>
      </c>
      <c r="R374" s="10">
        <f t="shared" si="37"/>
        <v>0</v>
      </c>
      <c r="S374" s="10"/>
      <c r="T374" s="10"/>
      <c r="U374" s="10"/>
      <c r="X374" s="10"/>
    </row>
    <row r="375" spans="1:24" ht="6.75" customHeight="1" thickBot="1" x14ac:dyDescent="0.3">
      <c r="A375" s="1" t="str">
        <f>IF(R375=0,"",COUNTIF(A$23:A374,"&gt;0")+1)</f>
        <v/>
      </c>
      <c r="P375" s="10"/>
      <c r="Q375" s="10"/>
      <c r="R375" s="10"/>
      <c r="S375" s="10"/>
      <c r="T375" s="10"/>
      <c r="U375" s="10"/>
      <c r="X375" s="10"/>
    </row>
    <row r="376" spans="1:24" ht="12" customHeight="1" thickBot="1" x14ac:dyDescent="0.3">
      <c r="A376" s="1" t="str">
        <f>IF(R376=0,"",COUNTIF(A$23:A375,"&gt;0")+1)</f>
        <v/>
      </c>
      <c r="B376" s="1191" t="s">
        <v>41</v>
      </c>
      <c r="C376" s="1191"/>
      <c r="D376" s="1110" t="s">
        <v>714</v>
      </c>
      <c r="E376" s="1110"/>
      <c r="F376" s="1110"/>
      <c r="G376" s="1110"/>
      <c r="H376" s="1136" t="s">
        <v>584</v>
      </c>
      <c r="I376" s="69" t="s">
        <v>715</v>
      </c>
      <c r="J376" s="69"/>
      <c r="K376" s="69"/>
      <c r="L376" s="69"/>
      <c r="M376" s="69"/>
      <c r="N376" s="69"/>
      <c r="O376" s="70"/>
      <c r="P376" s="10"/>
      <c r="Q376" s="10"/>
      <c r="R376" s="10"/>
      <c r="S376" s="10"/>
      <c r="T376" s="10"/>
      <c r="U376" s="10"/>
      <c r="X376" s="10"/>
    </row>
    <row r="377" spans="1:24" ht="12" customHeight="1" thickBot="1" x14ac:dyDescent="0.3">
      <c r="A377" s="1" t="str">
        <f>IF(R377=0,"",COUNTIF(A$23:A376,"&gt;0")+1)</f>
        <v/>
      </c>
      <c r="B377" s="1109" t="s">
        <v>592</v>
      </c>
      <c r="C377" s="1109"/>
      <c r="D377" s="1110"/>
      <c r="E377" s="1110"/>
      <c r="F377" s="1110"/>
      <c r="G377" s="1110"/>
      <c r="H377" s="1136"/>
      <c r="I377" s="73" t="s">
        <v>47</v>
      </c>
      <c r="J377" s="72"/>
      <c r="K377" s="72"/>
      <c r="L377" s="72"/>
      <c r="M377" s="73"/>
      <c r="N377" s="72"/>
      <c r="O377" s="74" t="s">
        <v>48</v>
      </c>
      <c r="P377" s="75" t="s">
        <v>49</v>
      </c>
      <c r="Q377" s="10"/>
      <c r="R377" s="10"/>
      <c r="S377" s="10"/>
      <c r="T377" s="10"/>
      <c r="U377" s="10"/>
      <c r="X377" s="10"/>
    </row>
    <row r="378" spans="1:24" ht="11.25" customHeight="1" x14ac:dyDescent="0.25">
      <c r="A378" s="1" t="str">
        <f>IF(R378=0,"",COUNTIF(A$23:A377,"&gt;0")+1)</f>
        <v/>
      </c>
      <c r="B378" s="76"/>
      <c r="C378" s="77" t="s">
        <v>587</v>
      </c>
      <c r="D378" s="204" t="s">
        <v>52</v>
      </c>
      <c r="E378" s="79"/>
      <c r="F378" s="79"/>
      <c r="G378" s="720" t="s">
        <v>53</v>
      </c>
      <c r="H378" s="206" t="s">
        <v>54</v>
      </c>
      <c r="I378" s="207"/>
      <c r="J378" s="83"/>
      <c r="K378" s="84">
        <f>IF(VLOOKUP(D378,A!A$1:O$767,11,FALSE)="y",1,0)</f>
        <v>1</v>
      </c>
      <c r="L378" s="84">
        <f>IF(VLOOKUP(D378,A!A$1:O$767,12,FALSE)="y",1,0)</f>
        <v>0</v>
      </c>
      <c r="M378" s="85" t="str">
        <f>IF(VLOOKUP(D378,A!A$1:O$767,10,FALSE)="y","NEW","")</f>
        <v/>
      </c>
      <c r="N378" s="83">
        <f>VLOOKUP(D378,A!A$1:O$767,13,FALSE)</f>
        <v>0</v>
      </c>
      <c r="O378" s="86" t="s">
        <v>55</v>
      </c>
      <c r="P378" s="10" t="str">
        <f>VLOOKUP(D378,A!A$1:O$767,9,FALSE)</f>
        <v>Y</v>
      </c>
      <c r="Q378" s="10" t="s">
        <v>716</v>
      </c>
      <c r="R378" s="10">
        <f t="shared" ref="R378:R413" si="39">B378</f>
        <v>0</v>
      </c>
      <c r="S378" s="10">
        <f>VLOOKUP(D378,A!A$1:AK$767,32,FALSE)</f>
        <v>35</v>
      </c>
      <c r="T378" s="10">
        <v>0.125</v>
      </c>
      <c r="U378" s="10">
        <f t="shared" ref="U378:U413" si="40">T378*B378</f>
        <v>0</v>
      </c>
      <c r="X378" s="10"/>
    </row>
    <row r="379" spans="1:24" ht="11.25" hidden="1" customHeight="1" x14ac:dyDescent="0.25">
      <c r="A379" s="1" t="str">
        <f>IF(R379=0,"",COUNTIF(A$23:A378,"&gt;0")+1)</f>
        <v/>
      </c>
      <c r="B379" s="87"/>
      <c r="C379" s="63" t="s">
        <v>587</v>
      </c>
      <c r="D379" s="64" t="s">
        <v>60</v>
      </c>
      <c r="E379" s="65"/>
      <c r="F379" s="65"/>
      <c r="G379" s="97" t="s">
        <v>717</v>
      </c>
      <c r="H379" s="66" t="s">
        <v>62</v>
      </c>
      <c r="I379" s="67">
        <f>VLOOKUP(D379,A!A$1:O$767,15,FALSE)</f>
        <v>2</v>
      </c>
      <c r="J379" s="67" t="s">
        <v>63</v>
      </c>
      <c r="K379" s="68">
        <f>IF(VLOOKUP(D379,A!A$1:O$767,11,FALSE)="y",1,0)</f>
        <v>0</v>
      </c>
      <c r="L379" s="68">
        <f>IF(VLOOKUP(D379,A!A$1:O$767,12,FALSE)="y",1,0)</f>
        <v>0</v>
      </c>
      <c r="M379" s="92" t="str">
        <f>IF(VLOOKUP(D379,A!A$1:O$767,10,FALSE)="y","NEW","")</f>
        <v/>
      </c>
      <c r="N379" s="67">
        <f>VLOOKUP(D379,A!A$1:O$767,13,FALSE)</f>
        <v>0</v>
      </c>
      <c r="O379" s="93">
        <v>2</v>
      </c>
      <c r="P379" s="10">
        <f>VLOOKUP(D379,A!A$1:O$767,9,FALSE)</f>
        <v>0</v>
      </c>
      <c r="Q379" s="10" t="s">
        <v>716</v>
      </c>
      <c r="R379" s="10">
        <f t="shared" si="39"/>
        <v>0</v>
      </c>
      <c r="S379" s="10">
        <f>VLOOKUP(D379,A!A$1:AK$767,32,FALSE)</f>
        <v>55</v>
      </c>
      <c r="T379" s="10">
        <v>0.125</v>
      </c>
      <c r="U379" s="10">
        <f t="shared" si="40"/>
        <v>0</v>
      </c>
      <c r="X379" s="10"/>
    </row>
    <row r="380" spans="1:24" ht="11.25" customHeight="1" x14ac:dyDescent="0.25">
      <c r="A380" s="1" t="str">
        <f>IF(R380=0,"",COUNTIF(A$23:A379,"&gt;0")+1)</f>
        <v/>
      </c>
      <c r="B380" s="87"/>
      <c r="C380" s="63" t="s">
        <v>587</v>
      </c>
      <c r="D380" s="64" t="s">
        <v>67</v>
      </c>
      <c r="E380" s="65"/>
      <c r="F380" s="65"/>
      <c r="G380" s="97" t="s">
        <v>718</v>
      </c>
      <c r="H380" s="66" t="s">
        <v>69</v>
      </c>
      <c r="I380" s="67">
        <v>2</v>
      </c>
      <c r="J380" s="67"/>
      <c r="K380" s="68">
        <f>IF(VLOOKUP(D380,A!A$1:O$767,11,FALSE)="y",1,0)</f>
        <v>1</v>
      </c>
      <c r="L380" s="68">
        <f>IF(VLOOKUP(D380,A!A$1:O$767,12,FALSE)="y",1,0)</f>
        <v>0</v>
      </c>
      <c r="M380" s="711"/>
      <c r="N380" s="67">
        <f>VLOOKUP(D380,A!A$1:O$767,13,FALSE)</f>
        <v>0</v>
      </c>
      <c r="O380" s="93" t="s">
        <v>65</v>
      </c>
      <c r="P380" s="10" t="str">
        <f>VLOOKUP(D380,A!A$1:O$767,9,FALSE)</f>
        <v>y</v>
      </c>
      <c r="Q380" s="10" t="s">
        <v>716</v>
      </c>
      <c r="R380" s="10">
        <f t="shared" si="39"/>
        <v>0</v>
      </c>
      <c r="S380" s="10">
        <f>VLOOKUP(D380,A!A$1:AK$767,32,FALSE)</f>
        <v>35</v>
      </c>
      <c r="T380" s="10">
        <v>0.125</v>
      </c>
      <c r="U380" s="10">
        <f t="shared" si="40"/>
        <v>0</v>
      </c>
      <c r="X380" s="10"/>
    </row>
    <row r="381" spans="1:24" ht="11.25" hidden="1" customHeight="1" x14ac:dyDescent="0.25">
      <c r="A381" s="1" t="str">
        <f>IF(R381=0,"",COUNTIF(A$23:A380,"&gt;0")+1)</f>
        <v/>
      </c>
      <c r="B381" s="87"/>
      <c r="C381" s="63" t="s">
        <v>587</v>
      </c>
      <c r="D381" s="64" t="s">
        <v>70</v>
      </c>
      <c r="E381" s="65"/>
      <c r="F381" s="65"/>
      <c r="G381" s="97" t="s">
        <v>71</v>
      </c>
      <c r="H381" s="66" t="s">
        <v>72</v>
      </c>
      <c r="I381" s="67">
        <f>VLOOKUP(D381,A!A$1:O$767,15,FALSE)</f>
        <v>0</v>
      </c>
      <c r="J381" s="67"/>
      <c r="K381" s="68">
        <f>IF(VLOOKUP(D381,A!A$1:O$767,11,FALSE)="y",1,0)</f>
        <v>0</v>
      </c>
      <c r="L381" s="68">
        <f>IF(VLOOKUP(D381,A!A$1:O$767,12,FALSE)="y",1,0)</f>
        <v>0</v>
      </c>
      <c r="M381" s="92" t="str">
        <f>IF(VLOOKUP(D381,A!A$1:O$767,10,FALSE)="y","NEW","")</f>
        <v/>
      </c>
      <c r="N381" s="67">
        <f>VLOOKUP(D381,A!A$1:O$767,13,FALSE)</f>
        <v>0</v>
      </c>
      <c r="O381" s="93" t="s">
        <v>73</v>
      </c>
      <c r="P381" s="10">
        <f>VLOOKUP(D381,A!A$1:O$767,9,FALSE)</f>
        <v>0</v>
      </c>
      <c r="Q381" s="10" t="s">
        <v>716</v>
      </c>
      <c r="R381" s="10">
        <f t="shared" si="39"/>
        <v>0</v>
      </c>
      <c r="S381" s="10" t="str">
        <f>VLOOKUP(D381,A!A$1:AK$767,32,FALSE)</f>
        <v/>
      </c>
      <c r="T381" s="10">
        <v>0.125</v>
      </c>
      <c r="U381" s="10">
        <f t="shared" si="40"/>
        <v>0</v>
      </c>
      <c r="X381" s="10"/>
    </row>
    <row r="382" spans="1:24" ht="11.25" customHeight="1" x14ac:dyDescent="0.25">
      <c r="A382" s="1" t="str">
        <f>IF(R382=0,"",COUNTIF(A$23:A381,"&gt;0")+1)</f>
        <v/>
      </c>
      <c r="B382" s="87"/>
      <c r="C382" s="63" t="s">
        <v>587</v>
      </c>
      <c r="D382" s="64" t="s">
        <v>74</v>
      </c>
      <c r="E382" s="65"/>
      <c r="F382" s="65"/>
      <c r="G382" s="97" t="s">
        <v>75</v>
      </c>
      <c r="H382" s="66" t="s">
        <v>76</v>
      </c>
      <c r="I382" s="67">
        <f>VLOOKUP(D382,A!A$1:O$767,15,FALSE)</f>
        <v>1</v>
      </c>
      <c r="J382" s="67"/>
      <c r="K382" s="68">
        <f>IF(VLOOKUP(D382,A!A$1:O$767,11,FALSE)="y",1,0)</f>
        <v>1</v>
      </c>
      <c r="L382" s="68">
        <f>IF(VLOOKUP(D382,A!A$1:O$767,12,FALSE)="y",1,0)</f>
        <v>1</v>
      </c>
      <c r="M382" s="92" t="str">
        <f>IF(VLOOKUP(D382,A!A$1:O$767,10,FALSE)="y","NEW","")</f>
        <v/>
      </c>
      <c r="N382" s="67">
        <f>VLOOKUP(D382,A!A$1:O$767,13,FALSE)</f>
        <v>0</v>
      </c>
      <c r="O382" s="93" t="s">
        <v>73</v>
      </c>
      <c r="P382" s="10" t="str">
        <f>VLOOKUP(D382,A!A$1:O$767,9,FALSE)</f>
        <v>y</v>
      </c>
      <c r="Q382" s="10" t="s">
        <v>716</v>
      </c>
      <c r="R382" s="10">
        <f t="shared" si="39"/>
        <v>0</v>
      </c>
      <c r="S382" s="10">
        <f>VLOOKUP(D382,A!A$1:AK$767,32,FALSE)</f>
        <v>35</v>
      </c>
      <c r="T382" s="10">
        <v>0.125</v>
      </c>
      <c r="U382" s="10">
        <f t="shared" si="40"/>
        <v>0</v>
      </c>
      <c r="X382" s="10"/>
    </row>
    <row r="383" spans="1:24" ht="11.25" hidden="1" customHeight="1" x14ac:dyDescent="0.25">
      <c r="A383" s="1" t="str">
        <f>IF(R383=0,"",COUNTIF(A$23:A382,"&gt;0")+1)</f>
        <v/>
      </c>
      <c r="B383" s="87"/>
      <c r="C383" s="63" t="s">
        <v>587</v>
      </c>
      <c r="D383" s="64" t="s">
        <v>77</v>
      </c>
      <c r="E383" s="65"/>
      <c r="F383" s="65"/>
      <c r="G383" s="97" t="s">
        <v>1321</v>
      </c>
      <c r="H383" s="66" t="s">
        <v>79</v>
      </c>
      <c r="I383" s="67">
        <f>VLOOKUP(D383,A!A$1:O$767,15,FALSE)</f>
        <v>2</v>
      </c>
      <c r="J383" s="67"/>
      <c r="K383" s="68">
        <f>IF(VLOOKUP(D383,A!A$1:O$767,11,FALSE)="y",1,0)</f>
        <v>0</v>
      </c>
      <c r="L383" s="68">
        <f>IF(VLOOKUP(D383,A!A$1:O$767,12,FALSE)="y",1,0)</f>
        <v>0</v>
      </c>
      <c r="M383" s="92" t="str">
        <f>IF(VLOOKUP(D383,A!A$1:O$767,10,FALSE)="y","NEW","")</f>
        <v/>
      </c>
      <c r="N383" s="67">
        <f>VLOOKUP(D383,A!A$1:O$767,13,FALSE)</f>
        <v>0</v>
      </c>
      <c r="O383" s="93" t="s">
        <v>73</v>
      </c>
      <c r="P383" s="10">
        <f>VLOOKUP(D383,A!A$1:O$767,9,FALSE)</f>
        <v>0</v>
      </c>
      <c r="Q383" s="10" t="s">
        <v>716</v>
      </c>
      <c r="R383" s="10">
        <f t="shared" si="39"/>
        <v>0</v>
      </c>
      <c r="S383" s="10">
        <f>VLOOKUP(D383,A!A$1:AK$767,32,FALSE)</f>
        <v>35</v>
      </c>
      <c r="T383" s="10">
        <v>0.125</v>
      </c>
      <c r="U383" s="10">
        <f t="shared" si="40"/>
        <v>0</v>
      </c>
      <c r="X383" s="10"/>
    </row>
    <row r="384" spans="1:24" ht="11.25" hidden="1" customHeight="1" x14ac:dyDescent="0.25">
      <c r="A384" s="1" t="str">
        <f>IF(R384=0,"",COUNTIF(A$23:A383,"&gt;0")+1)</f>
        <v/>
      </c>
      <c r="B384" s="87"/>
      <c r="C384" s="63" t="s">
        <v>587</v>
      </c>
      <c r="D384" s="64" t="s">
        <v>83</v>
      </c>
      <c r="E384" s="65"/>
      <c r="F384" s="65"/>
      <c r="G384" s="97" t="s">
        <v>84</v>
      </c>
      <c r="H384" s="66" t="s">
        <v>85</v>
      </c>
      <c r="I384" s="67">
        <v>1</v>
      </c>
      <c r="J384" s="67"/>
      <c r="K384" s="68">
        <f>IF(VLOOKUP(D384,A!A$1:O$767,11,FALSE)="y",1,0)</f>
        <v>0</v>
      </c>
      <c r="L384" s="68">
        <f>IF(VLOOKUP(D384,A!A$1:O$767,12,FALSE)="y",1,0)</f>
        <v>0</v>
      </c>
      <c r="M384" s="711" t="s">
        <v>64</v>
      </c>
      <c r="N384" s="67">
        <f>VLOOKUP(D384,A!A$1:O$767,13,FALSE)</f>
        <v>0</v>
      </c>
      <c r="O384" s="93" t="s">
        <v>73</v>
      </c>
      <c r="P384" s="10">
        <f>VLOOKUP(D384,A!A$1:O$767,9,FALSE)</f>
        <v>0</v>
      </c>
      <c r="Q384" s="10" t="s">
        <v>716</v>
      </c>
      <c r="R384" s="10">
        <f t="shared" si="39"/>
        <v>0</v>
      </c>
      <c r="S384" s="10">
        <f>VLOOKUP(D384,A!A$1:AK$767,32,FALSE)</f>
        <v>55</v>
      </c>
      <c r="T384" s="10">
        <v>0.125</v>
      </c>
      <c r="U384" s="10">
        <f t="shared" si="40"/>
        <v>0</v>
      </c>
      <c r="X384" s="10"/>
    </row>
    <row r="385" spans="1:24" ht="11.25" hidden="1" customHeight="1" x14ac:dyDescent="0.25">
      <c r="A385" s="1" t="str">
        <f>IF(R385=0,"",COUNTIF(A$23:A384,"&gt;0")+1)</f>
        <v/>
      </c>
      <c r="B385" s="87"/>
      <c r="C385" s="63" t="s">
        <v>587</v>
      </c>
      <c r="D385" s="64" t="s">
        <v>86</v>
      </c>
      <c r="E385" s="65"/>
      <c r="F385" s="65"/>
      <c r="G385" s="97" t="s">
        <v>87</v>
      </c>
      <c r="H385" s="66" t="s">
        <v>88</v>
      </c>
      <c r="I385" s="67">
        <f>VLOOKUP(D385,A!A$1:O$767,15,FALSE)</f>
        <v>1</v>
      </c>
      <c r="J385" s="67" t="s">
        <v>63</v>
      </c>
      <c r="K385" s="68">
        <f>IF(VLOOKUP(D385,A!A$1:O$767,11,FALSE)="y",1,0)</f>
        <v>0</v>
      </c>
      <c r="L385" s="68">
        <f>IF(VLOOKUP(D385,A!A$1:O$767,12,FALSE)="y",1,0)</f>
        <v>0</v>
      </c>
      <c r="M385" s="92"/>
      <c r="N385" s="67">
        <f>VLOOKUP(D385,A!A$1:O$767,13,FALSE)</f>
        <v>0</v>
      </c>
      <c r="O385" s="93" t="s">
        <v>73</v>
      </c>
      <c r="P385" s="10">
        <f>VLOOKUP(D385,A!A$1:O$767,9,FALSE)</f>
        <v>0</v>
      </c>
      <c r="Q385" s="10" t="s">
        <v>716</v>
      </c>
      <c r="R385" s="10">
        <f t="shared" si="39"/>
        <v>0</v>
      </c>
      <c r="S385" s="10">
        <f>VLOOKUP(D385,A!A$1:AK$767,32,FALSE)</f>
        <v>55</v>
      </c>
      <c r="T385" s="10">
        <v>0.125</v>
      </c>
      <c r="U385" s="10">
        <f t="shared" si="40"/>
        <v>0</v>
      </c>
      <c r="X385" s="10"/>
    </row>
    <row r="386" spans="1:24" ht="11.25" customHeight="1" x14ac:dyDescent="0.25">
      <c r="A386" s="1" t="str">
        <f>IF(R386=0,"",COUNTIF(A$23:A385,"&gt;0")+1)</f>
        <v/>
      </c>
      <c r="B386" s="87"/>
      <c r="C386" s="63" t="s">
        <v>587</v>
      </c>
      <c r="D386" s="64" t="s">
        <v>89</v>
      </c>
      <c r="E386" s="65"/>
      <c r="F386" s="65"/>
      <c r="G386" s="97" t="s">
        <v>90</v>
      </c>
      <c r="H386" s="66" t="s">
        <v>91</v>
      </c>
      <c r="I386" s="67">
        <f>VLOOKUP(D386,A!A$1:O$767,15,FALSE)</f>
        <v>1</v>
      </c>
      <c r="J386" s="67"/>
      <c r="K386" s="68">
        <f>IF(VLOOKUP(D386,A!A$1:O$767,11,FALSE)="y",1,0)</f>
        <v>1</v>
      </c>
      <c r="L386" s="68">
        <f>IF(VLOOKUP(D386,A!A$1:O$767,12,FALSE)="y",1,0)</f>
        <v>0</v>
      </c>
      <c r="M386" s="711"/>
      <c r="N386" s="67">
        <f>VLOOKUP(D386,A!A$1:O$767,13,FALSE)</f>
        <v>0</v>
      </c>
      <c r="O386" s="93" t="s">
        <v>73</v>
      </c>
      <c r="P386" s="10" t="str">
        <f>VLOOKUP(D386,A!A$1:O$767,9,FALSE)</f>
        <v>y</v>
      </c>
      <c r="Q386" s="10" t="s">
        <v>716</v>
      </c>
      <c r="R386" s="10">
        <f t="shared" si="39"/>
        <v>0</v>
      </c>
      <c r="S386" s="10">
        <f>VLOOKUP(D386,A!A$1:AK$767,32,FALSE)</f>
        <v>35</v>
      </c>
      <c r="T386" s="10">
        <v>0.125</v>
      </c>
      <c r="U386" s="10">
        <f t="shared" si="40"/>
        <v>0</v>
      </c>
      <c r="X386" s="10"/>
    </row>
    <row r="387" spans="1:24" ht="11.25" hidden="1" customHeight="1" x14ac:dyDescent="0.25">
      <c r="A387" s="1" t="str">
        <f>IF(R387=0,"",COUNTIF(A$23:A386,"&gt;0")+1)</f>
        <v/>
      </c>
      <c r="B387" s="87"/>
      <c r="C387" s="63" t="s">
        <v>587</v>
      </c>
      <c r="D387" s="64" t="s">
        <v>95</v>
      </c>
      <c r="E387" s="65"/>
      <c r="F387" s="65"/>
      <c r="G387" s="97" t="s">
        <v>96</v>
      </c>
      <c r="H387" s="66" t="s">
        <v>97</v>
      </c>
      <c r="I387" s="67">
        <f>VLOOKUP(D387,A!A$1:O$767,15,FALSE)</f>
        <v>1</v>
      </c>
      <c r="J387" s="67"/>
      <c r="K387" s="68">
        <f>IF(VLOOKUP(D387,A!A$1:O$767,11,FALSE)="y",1,0)</f>
        <v>0</v>
      </c>
      <c r="L387" s="68">
        <f>IF(VLOOKUP(D387,A!A$1:O$767,12,FALSE)="y",1,0)</f>
        <v>0</v>
      </c>
      <c r="M387" s="711"/>
      <c r="N387" s="67">
        <f>VLOOKUP(D387,A!A$1:O$767,13,FALSE)</f>
        <v>0</v>
      </c>
      <c r="O387" s="93" t="s">
        <v>55</v>
      </c>
      <c r="P387" s="10">
        <f>VLOOKUP(D387,A!A$1:O$767,9,FALSE)</f>
        <v>0</v>
      </c>
      <c r="Q387" s="10" t="s">
        <v>716</v>
      </c>
      <c r="R387" s="10">
        <f t="shared" si="39"/>
        <v>0</v>
      </c>
      <c r="S387" s="10">
        <f>VLOOKUP(D387,A!A$1:AK$767,32,FALSE)</f>
        <v>55</v>
      </c>
      <c r="T387" s="10">
        <v>0.125</v>
      </c>
      <c r="U387" s="10">
        <f t="shared" si="40"/>
        <v>0</v>
      </c>
      <c r="X387" s="10"/>
    </row>
    <row r="388" spans="1:24" ht="11.25" hidden="1" customHeight="1" x14ac:dyDescent="0.25">
      <c r="A388" s="1" t="str">
        <f>IF(R388=0,"",COUNTIF(A$23:A387,"&gt;0")+1)</f>
        <v/>
      </c>
      <c r="B388" s="87"/>
      <c r="C388" s="63" t="s">
        <v>587</v>
      </c>
      <c r="D388" s="64" t="s">
        <v>104</v>
      </c>
      <c r="E388" s="65"/>
      <c r="F388" s="65"/>
      <c r="G388" s="97" t="s">
        <v>105</v>
      </c>
      <c r="H388" s="66" t="s">
        <v>106</v>
      </c>
      <c r="I388" s="67">
        <f>VLOOKUP(D388,A!A$1:O$767,15,FALSE)</f>
        <v>1</v>
      </c>
      <c r="J388" s="67" t="s">
        <v>63</v>
      </c>
      <c r="K388" s="68">
        <f>IF(VLOOKUP(D388,A!A$1:O$767,11,FALSE)="y",1,0)</f>
        <v>0</v>
      </c>
      <c r="L388" s="68">
        <f>IF(VLOOKUP(D388,A!A$1:O$767,12,FALSE)="y",1,0)</f>
        <v>0</v>
      </c>
      <c r="M388" s="711" t="s">
        <v>64</v>
      </c>
      <c r="N388" s="67">
        <f>VLOOKUP(D388,A!A$1:O$767,13,FALSE)</f>
        <v>0</v>
      </c>
      <c r="O388" s="93" t="s">
        <v>65</v>
      </c>
      <c r="P388" s="10">
        <f>VLOOKUP(D388,A!A$1:O$767,9,FALSE)</f>
        <v>0</v>
      </c>
      <c r="Q388" s="10" t="s">
        <v>716</v>
      </c>
      <c r="R388" s="10">
        <f t="shared" si="39"/>
        <v>0</v>
      </c>
      <c r="S388" s="10">
        <f>VLOOKUP(D388,A!A$1:AK$767,32,FALSE)</f>
        <v>55</v>
      </c>
      <c r="T388" s="10">
        <v>0.125</v>
      </c>
      <c r="U388" s="10">
        <f t="shared" si="40"/>
        <v>0</v>
      </c>
      <c r="X388" s="10"/>
    </row>
    <row r="389" spans="1:24" ht="11.25" hidden="1" customHeight="1" x14ac:dyDescent="0.25">
      <c r="A389" s="1" t="str">
        <f>IF(R389=0,"",COUNTIF(A$23:A388,"&gt;0")+1)</f>
        <v/>
      </c>
      <c r="B389" s="87"/>
      <c r="C389" s="63" t="s">
        <v>587</v>
      </c>
      <c r="D389" s="64" t="s">
        <v>107</v>
      </c>
      <c r="E389" s="65"/>
      <c r="F389" s="65"/>
      <c r="G389" s="97" t="s">
        <v>108</v>
      </c>
      <c r="H389" s="66" t="s">
        <v>109</v>
      </c>
      <c r="I389" s="67">
        <f>VLOOKUP(D389,A!A$1:O$767,15,FALSE)</f>
        <v>0</v>
      </c>
      <c r="J389" s="67"/>
      <c r="K389" s="68">
        <f>IF(VLOOKUP(D389,A!A$1:O$767,11,FALSE)="y",1,0)</f>
        <v>0</v>
      </c>
      <c r="L389" s="68">
        <f>IF(VLOOKUP(D389,A!A$1:O$767,12,FALSE)="y",1,0)</f>
        <v>0</v>
      </c>
      <c r="M389" s="711" t="str">
        <f>IF(VLOOKUP(D389,A!A$1:O$767,10,FALSE)="y","NEW","")</f>
        <v/>
      </c>
      <c r="N389" s="67">
        <f>VLOOKUP(D389,A!A$1:O$767,13,FALSE)</f>
        <v>0</v>
      </c>
      <c r="O389" s="93" t="s">
        <v>73</v>
      </c>
      <c r="P389" s="10">
        <f>VLOOKUP(D389,A!A$1:O$767,9,FALSE)</f>
        <v>0</v>
      </c>
      <c r="Q389" s="10" t="s">
        <v>716</v>
      </c>
      <c r="R389" s="10">
        <f t="shared" si="39"/>
        <v>0</v>
      </c>
      <c r="S389" s="10" t="str">
        <f>VLOOKUP(D389,A!A$1:AK$767,32,FALSE)</f>
        <v/>
      </c>
      <c r="T389" s="10">
        <v>0.125</v>
      </c>
      <c r="U389" s="10">
        <f t="shared" si="40"/>
        <v>0</v>
      </c>
      <c r="X389" s="10"/>
    </row>
    <row r="390" spans="1:24" ht="11.25" hidden="1" customHeight="1" x14ac:dyDescent="0.25">
      <c r="A390" s="1" t="str">
        <f>IF(R390=0,"",COUNTIF(A$23:A389,"&gt;0")+1)</f>
        <v/>
      </c>
      <c r="B390" s="87"/>
      <c r="C390" s="63" t="s">
        <v>587</v>
      </c>
      <c r="D390" s="64" t="s">
        <v>110</v>
      </c>
      <c r="E390" s="65"/>
      <c r="F390" s="65"/>
      <c r="G390" s="97" t="s">
        <v>111</v>
      </c>
      <c r="H390" s="66" t="s">
        <v>112</v>
      </c>
      <c r="I390" s="67">
        <f>VLOOKUP(D390,A!A$1:O$767,15,FALSE)</f>
        <v>2</v>
      </c>
      <c r="J390" s="67" t="s">
        <v>63</v>
      </c>
      <c r="K390" s="68">
        <f>IF(VLOOKUP(D390,A!A$1:O$767,11,FALSE)="y",1,0)</f>
        <v>0</v>
      </c>
      <c r="L390" s="68">
        <f>IF(VLOOKUP(D390,A!A$1:O$767,12,FALSE)="y",1,0)</f>
        <v>0</v>
      </c>
      <c r="M390" s="711"/>
      <c r="N390" s="67"/>
      <c r="O390" s="93" t="s">
        <v>73</v>
      </c>
      <c r="P390" s="10">
        <f>VLOOKUP(D390,A!A$1:O$767,9,FALSE)</f>
        <v>0</v>
      </c>
      <c r="Q390" s="10" t="s">
        <v>716</v>
      </c>
      <c r="R390" s="10">
        <f t="shared" si="39"/>
        <v>0</v>
      </c>
      <c r="S390" s="10">
        <f>VLOOKUP(D390,A!A$1:AK$767,32,FALSE)</f>
        <v>35</v>
      </c>
      <c r="T390" s="10">
        <v>0.125</v>
      </c>
      <c r="U390" s="10">
        <f t="shared" si="40"/>
        <v>0</v>
      </c>
      <c r="X390" s="10"/>
    </row>
    <row r="391" spans="1:24" ht="11.25" hidden="1" customHeight="1" x14ac:dyDescent="0.25">
      <c r="A391" s="1" t="str">
        <f>IF(R391=0,"",COUNTIF(A$23:A390,"&gt;0")+1)</f>
        <v/>
      </c>
      <c r="B391" s="87"/>
      <c r="C391" s="63" t="s">
        <v>587</v>
      </c>
      <c r="D391" s="64" t="s">
        <v>113</v>
      </c>
      <c r="E391" s="65"/>
      <c r="F391" s="65"/>
      <c r="G391" s="97" t="s">
        <v>114</v>
      </c>
      <c r="H391" s="66" t="s">
        <v>115</v>
      </c>
      <c r="I391" s="67">
        <f>VLOOKUP(D391,A!A$1:O$767,15,FALSE)</f>
        <v>0</v>
      </c>
      <c r="J391" s="67"/>
      <c r="K391" s="68">
        <f>IF(VLOOKUP(D391,A!A$1:O$767,11,FALSE)="y",1,0)</f>
        <v>0</v>
      </c>
      <c r="L391" s="68">
        <f>IF(VLOOKUP(D391,A!A$1:O$767,12,FALSE)="y",1,0)</f>
        <v>0</v>
      </c>
      <c r="M391" s="711" t="str">
        <f>IF(VLOOKUP(D391,A!A$1:O$767,10,FALSE)="y","NEW","")</f>
        <v/>
      </c>
      <c r="N391" s="67">
        <f>VLOOKUP(D391,A!A$1:O$767,13,FALSE)</f>
        <v>0</v>
      </c>
      <c r="O391" s="93" t="s">
        <v>73</v>
      </c>
      <c r="P391" s="10">
        <f>VLOOKUP(D391,A!A$1:O$767,9,FALSE)</f>
        <v>0</v>
      </c>
      <c r="Q391" s="10" t="s">
        <v>716</v>
      </c>
      <c r="R391" s="10">
        <f t="shared" si="39"/>
        <v>0</v>
      </c>
      <c r="S391" s="10" t="str">
        <f>VLOOKUP(D391,A!A$1:AK$767,32,FALSE)</f>
        <v/>
      </c>
      <c r="T391" s="10">
        <v>0.125</v>
      </c>
      <c r="U391" s="10">
        <f t="shared" si="40"/>
        <v>0</v>
      </c>
      <c r="X391" s="10"/>
    </row>
    <row r="392" spans="1:24" ht="11.25" hidden="1" customHeight="1" x14ac:dyDescent="0.25">
      <c r="A392" s="1" t="str">
        <f>IF(R392=0,"",COUNTIF(A$23:A391,"&gt;0")+1)</f>
        <v/>
      </c>
      <c r="B392" s="87"/>
      <c r="C392" s="63" t="s">
        <v>587</v>
      </c>
      <c r="D392" s="64" t="s">
        <v>116</v>
      </c>
      <c r="E392" s="65"/>
      <c r="F392" s="65"/>
      <c r="G392" s="97" t="s">
        <v>117</v>
      </c>
      <c r="H392" s="66" t="s">
        <v>118</v>
      </c>
      <c r="I392" s="67">
        <f>VLOOKUP(D392,A!A$1:O$767,15,FALSE)</f>
        <v>0</v>
      </c>
      <c r="J392" s="67"/>
      <c r="K392" s="68">
        <f>IF(VLOOKUP(D392,A!A$1:O$767,11,FALSE)="y",1,0)</f>
        <v>0</v>
      </c>
      <c r="L392" s="68">
        <f>IF(VLOOKUP(D392,A!A$1:O$767,12,FALSE)="y",1,0)</f>
        <v>0</v>
      </c>
      <c r="M392" s="711" t="str">
        <f>IF(VLOOKUP(D392,A!A$1:O$767,10,FALSE)="y","NEW","")</f>
        <v/>
      </c>
      <c r="N392" s="67">
        <f>VLOOKUP(D392,A!A$1:O$767,13,FALSE)</f>
        <v>0</v>
      </c>
      <c r="O392" s="93" t="s">
        <v>73</v>
      </c>
      <c r="P392" s="10">
        <f>VLOOKUP(D392,A!A$1:O$767,9,FALSE)</f>
        <v>0</v>
      </c>
      <c r="Q392" s="10" t="s">
        <v>716</v>
      </c>
      <c r="R392" s="10">
        <f t="shared" si="39"/>
        <v>0</v>
      </c>
      <c r="S392" s="10" t="str">
        <f>VLOOKUP(D392,A!A$1:AK$767,32,FALSE)</f>
        <v/>
      </c>
      <c r="T392" s="10">
        <v>0.125</v>
      </c>
      <c r="U392" s="10">
        <f t="shared" si="40"/>
        <v>0</v>
      </c>
      <c r="X392" s="10"/>
    </row>
    <row r="393" spans="1:24" ht="11.25" hidden="1" customHeight="1" x14ac:dyDescent="0.25">
      <c r="A393" s="1" t="str">
        <f>IF(R393=0,"",COUNTIF(A$23:A392,"&gt;0")+1)</f>
        <v/>
      </c>
      <c r="B393" s="87"/>
      <c r="C393" s="63" t="s">
        <v>587</v>
      </c>
      <c r="D393" s="64" t="s">
        <v>119</v>
      </c>
      <c r="E393" s="65"/>
      <c r="F393" s="65"/>
      <c r="G393" s="97" t="s">
        <v>120</v>
      </c>
      <c r="H393" s="66" t="s">
        <v>121</v>
      </c>
      <c r="I393" s="67">
        <f>VLOOKUP(D393,A!A$1:O$767,15,FALSE)</f>
        <v>2</v>
      </c>
      <c r="J393" s="67"/>
      <c r="K393" s="68">
        <f>IF(VLOOKUP(D393,A!A$1:O$767,11,FALSE)="y",1,0)</f>
        <v>0</v>
      </c>
      <c r="L393" s="68">
        <f>IF(VLOOKUP(D393,A!A$1:O$767,12,FALSE)="y",1,0)</f>
        <v>0</v>
      </c>
      <c r="M393" s="711" t="str">
        <f>IF(VLOOKUP(D393,A!A$1:O$767,10,FALSE)="y","NEW","")</f>
        <v/>
      </c>
      <c r="N393" s="67">
        <f>VLOOKUP(D393,A!A$1:O$767,13,FALSE)</f>
        <v>0</v>
      </c>
      <c r="O393" s="93" t="s">
        <v>73</v>
      </c>
      <c r="P393" s="10">
        <f>VLOOKUP(D393,A!A$1:O$767,9,FALSE)</f>
        <v>0</v>
      </c>
      <c r="Q393" s="10" t="s">
        <v>716</v>
      </c>
      <c r="R393" s="10">
        <f t="shared" si="39"/>
        <v>0</v>
      </c>
      <c r="S393" s="10">
        <f>VLOOKUP(D393,A!A$1:AK$767,32,FALSE)</f>
        <v>35</v>
      </c>
      <c r="T393" s="10">
        <v>0.125</v>
      </c>
      <c r="U393" s="10">
        <f t="shared" si="40"/>
        <v>0</v>
      </c>
      <c r="X393" s="10"/>
    </row>
    <row r="394" spans="1:24" ht="11.25" hidden="1" customHeight="1" x14ac:dyDescent="0.25">
      <c r="A394" s="1" t="str">
        <f>IF(R394=0,"",COUNTIF(A$23:A393,"&gt;0")+1)</f>
        <v/>
      </c>
      <c r="B394" s="87"/>
      <c r="C394" s="63" t="s">
        <v>587</v>
      </c>
      <c r="D394" s="88" t="s">
        <v>128</v>
      </c>
      <c r="E394" s="65"/>
      <c r="F394" s="65"/>
      <c r="G394" s="89" t="s">
        <v>129</v>
      </c>
      <c r="H394" s="90" t="s">
        <v>130</v>
      </c>
      <c r="I394" s="67">
        <f>VLOOKUP(D394,A!A$1:H$767,8,FALSE)</f>
        <v>3</v>
      </c>
      <c r="J394" s="67"/>
      <c r="K394" s="68">
        <f>IF(VLOOKUP(D394,A!A$1:O$767,11,FALSE)="y",1,0)</f>
        <v>0</v>
      </c>
      <c r="L394" s="68">
        <f>IF(VLOOKUP(D394,A!A$1:H$767,5,FALSE)="y",1,0)</f>
        <v>0</v>
      </c>
      <c r="M394" s="711"/>
      <c r="N394" s="67">
        <f>VLOOKUP(D394,A!A$1:H$767,6,FALSE)</f>
        <v>0</v>
      </c>
      <c r="O394" s="93">
        <v>1</v>
      </c>
      <c r="P394" s="10">
        <f>VLOOKUP(D394,A!A$1:O$767,9,FALSE)</f>
        <v>0</v>
      </c>
      <c r="Q394" s="10" t="s">
        <v>716</v>
      </c>
      <c r="R394" s="10">
        <f t="shared" ref="R394" si="41">B394</f>
        <v>0</v>
      </c>
      <c r="S394" s="10">
        <f>VLOOKUP(D394,A!A$1:AK$767,32,FALSE)</f>
        <v>25</v>
      </c>
      <c r="T394" s="10">
        <v>0.125</v>
      </c>
      <c r="U394" s="10">
        <f t="shared" ref="U394" si="42">T394*B394</f>
        <v>0</v>
      </c>
      <c r="X394" s="10"/>
    </row>
    <row r="395" spans="1:24" ht="11.25" hidden="1" customHeight="1" x14ac:dyDescent="0.25">
      <c r="A395" s="1" t="str">
        <f>IF(R395=0,"",COUNTIF(A$23:A394,"&gt;0")+1)</f>
        <v/>
      </c>
      <c r="B395" s="87"/>
      <c r="C395" s="63" t="s">
        <v>587</v>
      </c>
      <c r="D395" s="64" t="s">
        <v>719</v>
      </c>
      <c r="E395" s="65"/>
      <c r="F395" s="65"/>
      <c r="G395" s="97" t="s">
        <v>720</v>
      </c>
      <c r="H395" s="66" t="s">
        <v>721</v>
      </c>
      <c r="I395" s="67">
        <f>VLOOKUP(D395,A!A$1:O$767,15,FALSE)</f>
        <v>0</v>
      </c>
      <c r="J395" s="67"/>
      <c r="K395" s="68">
        <f>IF(VLOOKUP(D395,A!A$1:O$767,11,FALSE)="y",1,0)</f>
        <v>0</v>
      </c>
      <c r="L395" s="68">
        <f>IF(VLOOKUP(D395,A!A$1:O$767,12,FALSE)="y",1,0)</f>
        <v>0</v>
      </c>
      <c r="M395" s="711" t="str">
        <f>IF(VLOOKUP(D395,A!A$1:O$767,10,FALSE)="y","NEW","")</f>
        <v/>
      </c>
      <c r="N395" s="67">
        <f>VLOOKUP(D395,A!A$1:O$767,13,FALSE)</f>
        <v>0</v>
      </c>
      <c r="O395" s="93" t="s">
        <v>73</v>
      </c>
      <c r="P395" s="10">
        <f>VLOOKUP(D395,A!A$1:O$767,9,FALSE)</f>
        <v>0</v>
      </c>
      <c r="Q395" s="10" t="s">
        <v>716</v>
      </c>
      <c r="R395" s="10">
        <f t="shared" si="39"/>
        <v>0</v>
      </c>
      <c r="S395" s="10" t="str">
        <f>VLOOKUP(D395,A!A$1:AK$767,32,FALSE)</f>
        <v/>
      </c>
      <c r="T395" s="10">
        <v>0.125</v>
      </c>
      <c r="U395" s="10">
        <f t="shared" si="40"/>
        <v>0</v>
      </c>
      <c r="X395" s="10"/>
    </row>
    <row r="396" spans="1:24" ht="11.25" hidden="1" customHeight="1" x14ac:dyDescent="0.25">
      <c r="A396" s="1" t="str">
        <f>IF(R396=0,"",COUNTIF(A$23:A395,"&gt;0")+1)</f>
        <v/>
      </c>
      <c r="B396" s="87"/>
      <c r="C396" s="63" t="s">
        <v>587</v>
      </c>
      <c r="D396" s="64" t="s">
        <v>131</v>
      </c>
      <c r="E396" s="65"/>
      <c r="F396" s="65"/>
      <c r="G396" s="97" t="s">
        <v>132</v>
      </c>
      <c r="H396" s="66" t="s">
        <v>133</v>
      </c>
      <c r="I396" s="67">
        <f>VLOOKUP(D396,A!A$1:O$767,15,FALSE)</f>
        <v>0</v>
      </c>
      <c r="J396" s="67"/>
      <c r="K396" s="68">
        <f>IF(VLOOKUP(D396,A!A$1:O$767,11,FALSE)="y",1,0)</f>
        <v>0</v>
      </c>
      <c r="L396" s="68">
        <f>IF(VLOOKUP(D396,A!A$1:O$767,12,FALSE)="y",1,0)</f>
        <v>0</v>
      </c>
      <c r="M396" s="711" t="str">
        <f>IF(VLOOKUP(D396,A!A$1:O$767,10,FALSE)="y","NEW","")</f>
        <v/>
      </c>
      <c r="N396" s="67">
        <f>VLOOKUP(D396,A!A$1:O$767,13,FALSE)</f>
        <v>0</v>
      </c>
      <c r="O396" s="93" t="s">
        <v>73</v>
      </c>
      <c r="P396" s="10">
        <f>VLOOKUP(D396,A!A$1:O$767,9,FALSE)</f>
        <v>0</v>
      </c>
      <c r="Q396" s="10" t="s">
        <v>716</v>
      </c>
      <c r="R396" s="10">
        <f t="shared" si="39"/>
        <v>0</v>
      </c>
      <c r="S396" s="10" t="str">
        <f>VLOOKUP(D396,A!A$1:AK$767,32,FALSE)</f>
        <v/>
      </c>
      <c r="T396" s="10">
        <v>0.125</v>
      </c>
      <c r="U396" s="10">
        <f t="shared" si="40"/>
        <v>0</v>
      </c>
      <c r="X396" s="10"/>
    </row>
    <row r="397" spans="1:24" ht="11.25" hidden="1" customHeight="1" x14ac:dyDescent="0.25">
      <c r="A397" s="1" t="str">
        <f>IF(R397=0,"",COUNTIF(A$23:A396,"&gt;0")+1)</f>
        <v/>
      </c>
      <c r="B397" s="87"/>
      <c r="C397" s="63" t="s">
        <v>587</v>
      </c>
      <c r="D397" s="64" t="s">
        <v>722</v>
      </c>
      <c r="E397" s="65"/>
      <c r="F397" s="65"/>
      <c r="G397" s="97" t="s">
        <v>723</v>
      </c>
      <c r="H397" s="66" t="s">
        <v>724</v>
      </c>
      <c r="I397" s="67">
        <f>VLOOKUP(D397,A!A$1:O$767,15,FALSE)</f>
        <v>2</v>
      </c>
      <c r="J397" s="67"/>
      <c r="K397" s="68">
        <f>IF(VLOOKUP(D397,A!A$1:O$767,11,FALSE)="y",1,0)</f>
        <v>0</v>
      </c>
      <c r="L397" s="68">
        <f>IF(VLOOKUP(D397,A!A$1:O$767,12,FALSE)="y",1,0)</f>
        <v>0</v>
      </c>
      <c r="M397" s="711" t="str">
        <f>IF(VLOOKUP(D397,A!A$1:O$767,10,FALSE)="y","NEW","")</f>
        <v/>
      </c>
      <c r="N397" s="67">
        <f>VLOOKUP(D397,A!A$1:O$767,13,FALSE)</f>
        <v>0</v>
      </c>
      <c r="O397" s="93">
        <v>2</v>
      </c>
      <c r="P397" s="10">
        <f>VLOOKUP(D397,A!A$1:O$767,9,FALSE)</f>
        <v>0</v>
      </c>
      <c r="Q397" s="10" t="s">
        <v>716</v>
      </c>
      <c r="R397" s="10">
        <f t="shared" si="39"/>
        <v>0</v>
      </c>
      <c r="S397" s="10">
        <v>35</v>
      </c>
      <c r="T397" s="10">
        <v>0.125</v>
      </c>
      <c r="U397" s="10">
        <f t="shared" si="40"/>
        <v>0</v>
      </c>
      <c r="X397" s="10"/>
    </row>
    <row r="398" spans="1:24" ht="11.25" hidden="1" customHeight="1" x14ac:dyDescent="0.25">
      <c r="A398" s="1" t="str">
        <f>IF(R398=0,"",COUNTIF(A$23:A397,"&gt;0")+1)</f>
        <v/>
      </c>
      <c r="B398" s="87"/>
      <c r="C398" s="63" t="s">
        <v>587</v>
      </c>
      <c r="D398" s="64" t="s">
        <v>137</v>
      </c>
      <c r="E398" s="65"/>
      <c r="F398" s="65"/>
      <c r="G398" s="97" t="s">
        <v>138</v>
      </c>
      <c r="H398" s="66" t="s">
        <v>139</v>
      </c>
      <c r="I398" s="67">
        <f>VLOOKUP(D398,A!A$1:O$767,15,FALSE)</f>
        <v>2</v>
      </c>
      <c r="J398" s="67"/>
      <c r="K398" s="68">
        <f>IF(VLOOKUP(D398,A!A$1:O$767,11,FALSE)="y",1,0)</f>
        <v>0</v>
      </c>
      <c r="L398" s="68">
        <f>IF(VLOOKUP(D398,A!A$1:O$767,12,FALSE)="y",1,0)</f>
        <v>0</v>
      </c>
      <c r="M398" s="711"/>
      <c r="N398" s="67">
        <f>VLOOKUP(D398,A!A$1:O$767,13,FALSE)</f>
        <v>0</v>
      </c>
      <c r="O398" s="93" t="s">
        <v>73</v>
      </c>
      <c r="P398" s="10">
        <f>VLOOKUP(D398,A!A$1:O$767,9,FALSE)</f>
        <v>0</v>
      </c>
      <c r="Q398" s="10" t="s">
        <v>716</v>
      </c>
      <c r="R398" s="10">
        <f t="shared" si="39"/>
        <v>0</v>
      </c>
      <c r="S398" s="10">
        <f>VLOOKUP(D398,A!A$1:AK$767,32,FALSE)</f>
        <v>35</v>
      </c>
      <c r="T398" s="10">
        <v>0.125</v>
      </c>
      <c r="U398" s="10">
        <f t="shared" si="40"/>
        <v>0</v>
      </c>
      <c r="X398" s="10"/>
    </row>
    <row r="399" spans="1:24" ht="11.25" hidden="1" customHeight="1" x14ac:dyDescent="0.25">
      <c r="A399" s="1" t="str">
        <f>IF(R399=0,"",COUNTIF(A$23:A398,"&gt;0")+1)</f>
        <v/>
      </c>
      <c r="B399" s="87"/>
      <c r="C399" s="63" t="s">
        <v>587</v>
      </c>
      <c r="D399" s="64" t="s">
        <v>725</v>
      </c>
      <c r="E399" s="65"/>
      <c r="F399" s="65"/>
      <c r="G399" s="97" t="s">
        <v>135</v>
      </c>
      <c r="H399" s="66" t="s">
        <v>136</v>
      </c>
      <c r="I399" s="67">
        <f>VLOOKUP(D399,A!A$1:O$767,15,FALSE)</f>
        <v>3</v>
      </c>
      <c r="J399" s="67" t="s">
        <v>63</v>
      </c>
      <c r="K399" s="68">
        <f>IF(VLOOKUP(D399,A!A$1:O$767,11,FALSE)="y",1,0)</f>
        <v>0</v>
      </c>
      <c r="L399" s="68">
        <f>IF(VLOOKUP(D399,A!A$1:O$767,12,FALSE)="y",1,0)</f>
        <v>0</v>
      </c>
      <c r="M399" s="711"/>
      <c r="N399" s="67">
        <f>VLOOKUP(D399,A!A$1:O$767,13,FALSE)</f>
        <v>0</v>
      </c>
      <c r="O399" s="93" t="s">
        <v>73</v>
      </c>
      <c r="P399" s="10">
        <f>VLOOKUP(D399,A!A$1:O$767,9,FALSE)</f>
        <v>0</v>
      </c>
      <c r="Q399" s="10" t="s">
        <v>716</v>
      </c>
      <c r="R399" s="10">
        <f t="shared" si="39"/>
        <v>0</v>
      </c>
      <c r="S399" s="10">
        <f>VLOOKUP(D399,A!A$1:AK$767,32,FALSE)</f>
        <v>55</v>
      </c>
      <c r="T399" s="10">
        <v>0.125</v>
      </c>
      <c r="U399" s="10">
        <f t="shared" si="40"/>
        <v>0</v>
      </c>
      <c r="X399" s="10"/>
    </row>
    <row r="400" spans="1:24" ht="11.25" hidden="1" customHeight="1" x14ac:dyDescent="0.25">
      <c r="A400" s="1" t="str">
        <f>IF(R400=0,"",COUNTIF(A$23:A399,"&gt;0")+1)</f>
        <v/>
      </c>
      <c r="B400" s="87"/>
      <c r="C400" s="63" t="s">
        <v>587</v>
      </c>
      <c r="D400" s="691" t="s">
        <v>1400</v>
      </c>
      <c r="E400" s="65"/>
      <c r="F400" s="65"/>
      <c r="G400" s="97" t="s">
        <v>1401</v>
      </c>
      <c r="H400" s="66" t="s">
        <v>1402</v>
      </c>
      <c r="I400" s="67">
        <v>1</v>
      </c>
      <c r="J400" s="67"/>
      <c r="K400" s="68">
        <f>IF(VLOOKUP(D400,A!A$1:O$767,11,FALSE)="y",1,0)</f>
        <v>0</v>
      </c>
      <c r="L400" s="68"/>
      <c r="M400" s="711"/>
      <c r="N400" s="67"/>
      <c r="O400" s="93" t="s">
        <v>73</v>
      </c>
      <c r="P400" s="10">
        <f>VLOOKUP(D400,A!A$1:O$767,9,FALSE)</f>
        <v>0</v>
      </c>
      <c r="Q400" s="10" t="s">
        <v>716</v>
      </c>
      <c r="R400" s="10">
        <f>B400</f>
        <v>0</v>
      </c>
      <c r="S400" s="10">
        <v>55</v>
      </c>
      <c r="T400" s="10">
        <v>0.125</v>
      </c>
      <c r="U400" s="10">
        <f>T400*B400</f>
        <v>0</v>
      </c>
      <c r="X400" s="10"/>
    </row>
    <row r="401" spans="1:24" ht="11.25" customHeight="1" x14ac:dyDescent="0.25">
      <c r="A401" s="1" t="str">
        <f>IF(R401=0,"",COUNTIF(A$23:A400,"&gt;0")+1)</f>
        <v/>
      </c>
      <c r="B401" s="87"/>
      <c r="C401" s="63" t="s">
        <v>587</v>
      </c>
      <c r="D401" s="64" t="s">
        <v>143</v>
      </c>
      <c r="E401" s="65"/>
      <c r="F401" s="65"/>
      <c r="G401" s="97" t="s">
        <v>144</v>
      </c>
      <c r="H401" s="66" t="s">
        <v>145</v>
      </c>
      <c r="I401" s="67">
        <f>VLOOKUP(D401,A!A$1:O$767,15,FALSE)</f>
        <v>1</v>
      </c>
      <c r="J401" s="67"/>
      <c r="K401" s="68">
        <f>IF(VLOOKUP(D401,A!A$1:O$767,11,FALSE)="y",1,0)</f>
        <v>1</v>
      </c>
      <c r="L401" s="68">
        <f>IF(VLOOKUP(D401,A!A$1:O$767,12,FALSE)="y",1,0)</f>
        <v>0</v>
      </c>
      <c r="M401" s="711"/>
      <c r="N401" s="67">
        <f>VLOOKUP(D401,A!A$1:O$767,13,FALSE)</f>
        <v>0</v>
      </c>
      <c r="O401" s="93" t="s">
        <v>73</v>
      </c>
      <c r="P401" s="10" t="str">
        <f>VLOOKUP(D401,A!A$1:O$767,9,FALSE)</f>
        <v>y</v>
      </c>
      <c r="Q401" s="10" t="s">
        <v>716</v>
      </c>
      <c r="R401" s="10">
        <f t="shared" si="39"/>
        <v>0</v>
      </c>
      <c r="S401" s="10">
        <f>VLOOKUP(D401,A!A$1:AK$767,32,FALSE)</f>
        <v>25</v>
      </c>
      <c r="T401" s="10">
        <v>0.125</v>
      </c>
      <c r="U401" s="10">
        <f t="shared" si="40"/>
        <v>0</v>
      </c>
      <c r="X401" s="10"/>
    </row>
    <row r="402" spans="1:24" ht="11.25" customHeight="1" x14ac:dyDescent="0.25">
      <c r="A402" s="1" t="str">
        <f>IF(R402=0,"",COUNTIF(A$23:A401,"&gt;0")+1)</f>
        <v/>
      </c>
      <c r="B402" s="87"/>
      <c r="C402" s="63" t="s">
        <v>587</v>
      </c>
      <c r="D402" s="64" t="s">
        <v>146</v>
      </c>
      <c r="E402" s="65"/>
      <c r="F402" s="65"/>
      <c r="G402" s="97" t="s">
        <v>147</v>
      </c>
      <c r="H402" s="66" t="s">
        <v>148</v>
      </c>
      <c r="I402" s="67">
        <f>VLOOKUP(D402,A!A$1:O$767,15,FALSE)</f>
        <v>1</v>
      </c>
      <c r="J402" s="67"/>
      <c r="K402" s="68">
        <f>IF(VLOOKUP(D402,A!A$1:O$767,11,FALSE)="y",1,0)</f>
        <v>1</v>
      </c>
      <c r="L402" s="68">
        <f>IF(VLOOKUP(D402,A!A$1:O$767,12,FALSE)="y",1,0)</f>
        <v>1</v>
      </c>
      <c r="M402" s="711"/>
      <c r="N402" s="67" t="str">
        <f>VLOOKUP(D402,A!A$1:O$767,13,FALSE)</f>
        <v>y</v>
      </c>
      <c r="O402" s="93" t="s">
        <v>65</v>
      </c>
      <c r="P402" s="10" t="str">
        <f>VLOOKUP(D402,A!A$1:O$767,9,FALSE)</f>
        <v>y</v>
      </c>
      <c r="Q402" s="10" t="s">
        <v>716</v>
      </c>
      <c r="R402" s="10">
        <f t="shared" si="39"/>
        <v>0</v>
      </c>
      <c r="S402" s="10">
        <f>VLOOKUP(D402,A!A$1:AK$767,32,FALSE)</f>
        <v>55</v>
      </c>
      <c r="T402" s="10">
        <v>0.125</v>
      </c>
      <c r="U402" s="10">
        <f t="shared" si="40"/>
        <v>0</v>
      </c>
      <c r="X402" s="10"/>
    </row>
    <row r="403" spans="1:24" ht="11.25" hidden="1" customHeight="1" x14ac:dyDescent="0.25">
      <c r="A403" s="1" t="str">
        <f>IF(R403=0,"",COUNTIF(A$23:A402,"&gt;0")+1)</f>
        <v/>
      </c>
      <c r="B403" s="87"/>
      <c r="C403" s="63" t="s">
        <v>587</v>
      </c>
      <c r="D403" s="64" t="s">
        <v>149</v>
      </c>
      <c r="E403" s="208" t="s">
        <v>726</v>
      </c>
      <c r="F403" s="65"/>
      <c r="G403" s="97" t="s">
        <v>150</v>
      </c>
      <c r="H403" s="66" t="s">
        <v>151</v>
      </c>
      <c r="I403" s="67">
        <f>VLOOKUP(D403,A!A$1:O$767,15,FALSE)</f>
        <v>2</v>
      </c>
      <c r="J403" s="67"/>
      <c r="K403" s="68">
        <f>IF(VLOOKUP(D403,A!A$1:O$767,11,FALSE)="y",1,0)</f>
        <v>0</v>
      </c>
      <c r="L403" s="68">
        <f>IF(VLOOKUP(D403,A!A$1:O$767,12,FALSE)="y",1,0)</f>
        <v>0</v>
      </c>
      <c r="M403" s="711"/>
      <c r="N403" s="67">
        <f>VLOOKUP(D403,A!A$1:O$767,13,FALSE)</f>
        <v>0</v>
      </c>
      <c r="O403" s="93" t="s">
        <v>65</v>
      </c>
      <c r="P403" s="10">
        <f>VLOOKUP(D403,A!A$1:O$767,9,FALSE)</f>
        <v>0</v>
      </c>
      <c r="Q403" s="10" t="s">
        <v>716</v>
      </c>
      <c r="R403" s="10">
        <f t="shared" si="39"/>
        <v>0</v>
      </c>
      <c r="S403" s="10">
        <f>VLOOKUP(D403,A!A$1:AK$767,32,FALSE)</f>
        <v>35</v>
      </c>
      <c r="T403" s="10">
        <v>0.125</v>
      </c>
      <c r="U403" s="10">
        <f t="shared" si="40"/>
        <v>0</v>
      </c>
      <c r="X403" s="10"/>
    </row>
    <row r="404" spans="1:24" ht="11.25" hidden="1" customHeight="1" x14ac:dyDescent="0.25">
      <c r="A404" s="1" t="str">
        <f>IF(R404=0,"",COUNTIF(A$23:A403,"&gt;0")+1)</f>
        <v/>
      </c>
      <c r="B404" s="87"/>
      <c r="C404" s="63" t="s">
        <v>587</v>
      </c>
      <c r="D404" s="527" t="s">
        <v>152</v>
      </c>
      <c r="E404" s="65"/>
      <c r="F404" s="65"/>
      <c r="G404" s="89" t="s">
        <v>153</v>
      </c>
      <c r="H404" s="90" t="s">
        <v>154</v>
      </c>
      <c r="I404" s="67">
        <f>VLOOKUP(D404,A!A$1:H$767,8,FALSE)</f>
        <v>2</v>
      </c>
      <c r="J404" s="67" t="s">
        <v>63</v>
      </c>
      <c r="K404" s="68">
        <f>IF(VLOOKUP(D404,A!A$1:H$767,4,FALSE)="y",1,0)</f>
        <v>0</v>
      </c>
      <c r="L404" s="68">
        <f>IF(VLOOKUP(D404,A!A$1:H$767,5,FALSE)="y",1,0)</f>
        <v>0</v>
      </c>
      <c r="M404" s="711"/>
      <c r="N404" s="67">
        <f>VLOOKUP(D404,A!A$1:H$767,6,FALSE)</f>
        <v>0</v>
      </c>
      <c r="O404" s="93" t="s">
        <v>65</v>
      </c>
      <c r="P404" s="10">
        <f>VLOOKUP(D404,A!A$1:O$767,9,FALSE)</f>
        <v>0</v>
      </c>
      <c r="Q404" s="10" t="s">
        <v>716</v>
      </c>
      <c r="R404" s="10">
        <f>B404</f>
        <v>0</v>
      </c>
      <c r="S404" s="10">
        <v>55</v>
      </c>
      <c r="T404" s="10">
        <v>0.125</v>
      </c>
      <c r="U404" s="10">
        <f>T404*B404</f>
        <v>0</v>
      </c>
      <c r="X404" s="10"/>
    </row>
    <row r="405" spans="1:24" ht="11.25" customHeight="1" x14ac:dyDescent="0.25">
      <c r="A405" s="1" t="str">
        <f>IF(R405=0,"",COUNTIF(A$23:A404,"&gt;0")+1)</f>
        <v/>
      </c>
      <c r="B405" s="87"/>
      <c r="C405" s="63" t="s">
        <v>587</v>
      </c>
      <c r="D405" s="64" t="s">
        <v>155</v>
      </c>
      <c r="E405" s="65"/>
      <c r="F405" s="65"/>
      <c r="G405" s="97" t="s">
        <v>1320</v>
      </c>
      <c r="H405" s="66" t="s">
        <v>157</v>
      </c>
      <c r="I405" s="67">
        <f>VLOOKUP(D405,A!A$1:O$767,15,FALSE)</f>
        <v>1</v>
      </c>
      <c r="J405" s="67"/>
      <c r="K405" s="68">
        <f>IF(VLOOKUP(D405,A!A$1:H$767,4,FALSE)="y",1,0)</f>
        <v>1</v>
      </c>
      <c r="L405" s="68">
        <f>IF(VLOOKUP(D405,A!A$1:O$767,12,FALSE)="y",1,0)</f>
        <v>1</v>
      </c>
      <c r="M405" s="711" t="s">
        <v>726</v>
      </c>
      <c r="N405" s="67" t="str">
        <f>VLOOKUP(D405,A!A$1:O$767,13,FALSE)</f>
        <v>y</v>
      </c>
      <c r="O405" s="93" t="s">
        <v>65</v>
      </c>
      <c r="P405" s="10" t="str">
        <f>VLOOKUP(D405,A!A$1:O$767,9,FALSE)</f>
        <v>y</v>
      </c>
      <c r="Q405" s="10" t="s">
        <v>716</v>
      </c>
      <c r="R405" s="10">
        <f t="shared" si="39"/>
        <v>0</v>
      </c>
      <c r="S405" s="10">
        <f>VLOOKUP(D405,A!A$1:AK$767,32,FALSE)</f>
        <v>35</v>
      </c>
      <c r="T405" s="10">
        <v>0.125</v>
      </c>
      <c r="U405" s="10">
        <f t="shared" si="40"/>
        <v>0</v>
      </c>
      <c r="X405" s="10"/>
    </row>
    <row r="406" spans="1:24" ht="11.25" hidden="1" customHeight="1" x14ac:dyDescent="0.25">
      <c r="A406" s="1" t="str">
        <f>IF(R406=0,"",COUNTIF(A$23:A405,"&gt;0")+1)</f>
        <v/>
      </c>
      <c r="B406" s="87"/>
      <c r="C406" s="63" t="s">
        <v>587</v>
      </c>
      <c r="D406" s="64" t="s">
        <v>161</v>
      </c>
      <c r="E406" s="65"/>
      <c r="F406" s="65"/>
      <c r="G406" s="97" t="s">
        <v>162</v>
      </c>
      <c r="H406" s="66" t="s">
        <v>163</v>
      </c>
      <c r="I406" s="67">
        <f>VLOOKUP(D406,A!A$1:O$767,15,FALSE)</f>
        <v>1</v>
      </c>
      <c r="J406" s="67"/>
      <c r="K406" s="68">
        <f>IF(VLOOKUP(D406,A!A$1:H$767,4,FALSE)="y",1,0)</f>
        <v>1</v>
      </c>
      <c r="L406" s="68">
        <f>IF(VLOOKUP(D406,A!A$1:O$767,12,FALSE)="y",1,0)</f>
        <v>0</v>
      </c>
      <c r="M406" s="711"/>
      <c r="N406" s="67">
        <f>VLOOKUP(D406,A!A$1:O$767,13,FALSE)</f>
        <v>0</v>
      </c>
      <c r="O406" s="93" t="s">
        <v>55</v>
      </c>
      <c r="P406" s="10">
        <f>VLOOKUP(D406,A!A$1:O$767,9,FALSE)</f>
        <v>0</v>
      </c>
      <c r="Q406" s="10" t="s">
        <v>716</v>
      </c>
      <c r="R406" s="10">
        <f t="shared" si="39"/>
        <v>0</v>
      </c>
      <c r="S406" s="10">
        <f>VLOOKUP(D406,A!A$1:AK$767,32,FALSE)</f>
        <v>55</v>
      </c>
      <c r="T406" s="10">
        <v>0.125</v>
      </c>
      <c r="U406" s="10">
        <f t="shared" si="40"/>
        <v>0</v>
      </c>
      <c r="X406" s="10"/>
    </row>
    <row r="407" spans="1:24" ht="11.25" hidden="1" customHeight="1" x14ac:dyDescent="0.25">
      <c r="A407" s="1" t="str">
        <f>IF(R407=0,"",COUNTIF(A$23:A406,"&gt;0")+1)</f>
        <v/>
      </c>
      <c r="B407" s="87"/>
      <c r="C407" s="63" t="s">
        <v>587</v>
      </c>
      <c r="D407" s="64" t="s">
        <v>167</v>
      </c>
      <c r="E407" s="65"/>
      <c r="F407" s="65"/>
      <c r="G407" s="97" t="s">
        <v>168</v>
      </c>
      <c r="H407" s="66" t="s">
        <v>169</v>
      </c>
      <c r="I407" s="67">
        <f>VLOOKUP(D407,A!A$1:O$767,15,FALSE)</f>
        <v>2</v>
      </c>
      <c r="J407" s="67"/>
      <c r="K407" s="68">
        <f>IF(VLOOKUP(D407,A!A$1:H$767,4,FALSE)="y",1,0)</f>
        <v>0</v>
      </c>
      <c r="L407" s="68">
        <f>IF(VLOOKUP(D407,A!A$1:O$767,12,FALSE)="y",1,0)</f>
        <v>0</v>
      </c>
      <c r="M407" s="711" t="str">
        <f>IF(VLOOKUP(D407,A!A$1:O$767,10,FALSE)="y","NEW","")</f>
        <v/>
      </c>
      <c r="N407" s="67">
        <f>VLOOKUP(D407,A!A$1:O$767,13,FALSE)</f>
        <v>0</v>
      </c>
      <c r="O407" s="93" t="s">
        <v>73</v>
      </c>
      <c r="P407" s="10">
        <f>VLOOKUP(D407,A!A$1:O$767,9,FALSE)</f>
        <v>0</v>
      </c>
      <c r="Q407" s="10" t="s">
        <v>716</v>
      </c>
      <c r="R407" s="10">
        <f t="shared" si="39"/>
        <v>0</v>
      </c>
      <c r="S407" s="10">
        <f>VLOOKUP(D407,A!A$1:AK$767,32,FALSE)</f>
        <v>35</v>
      </c>
      <c r="T407" s="10">
        <v>0.125</v>
      </c>
      <c r="U407" s="10">
        <f t="shared" si="40"/>
        <v>0</v>
      </c>
      <c r="X407" s="10"/>
    </row>
    <row r="408" spans="1:24" ht="11.25" hidden="1" customHeight="1" x14ac:dyDescent="0.25">
      <c r="A408" s="1" t="str">
        <f>IF(R408=0,"",COUNTIF(A$23:A407,"&gt;0")+1)</f>
        <v/>
      </c>
      <c r="B408" s="87"/>
      <c r="C408" s="63" t="s">
        <v>587</v>
      </c>
      <c r="D408" s="64" t="s">
        <v>170</v>
      </c>
      <c r="E408" s="65"/>
      <c r="F408" s="65"/>
      <c r="G408" s="97" t="s">
        <v>171</v>
      </c>
      <c r="H408" s="66" t="s">
        <v>172</v>
      </c>
      <c r="I408" s="67">
        <f>VLOOKUP(D408,A!A$1:O$767,15,FALSE)</f>
        <v>3</v>
      </c>
      <c r="J408" s="67"/>
      <c r="K408" s="68">
        <f>IF(VLOOKUP(D408,A!A$1:H$767,4,FALSE)="y",1,0)</f>
        <v>0</v>
      </c>
      <c r="L408" s="68">
        <f>IF(VLOOKUP(D408,A!A$1:O$767,12,FALSE)="y",1,0)</f>
        <v>0</v>
      </c>
      <c r="M408" s="711" t="str">
        <f>IF(VLOOKUP(D408,A!A$1:O$767,10,FALSE)="y","NEW","")</f>
        <v/>
      </c>
      <c r="N408" s="67">
        <f>VLOOKUP(D408,A!A$1:O$767,13,FALSE)</f>
        <v>0</v>
      </c>
      <c r="O408" s="93" t="s">
        <v>73</v>
      </c>
      <c r="P408" s="10">
        <f>VLOOKUP(D408,A!A$1:O$767,9,FALSE)</f>
        <v>0</v>
      </c>
      <c r="Q408" s="10" t="s">
        <v>716</v>
      </c>
      <c r="R408" s="10">
        <f t="shared" si="39"/>
        <v>0</v>
      </c>
      <c r="S408" s="10" t="str">
        <f>VLOOKUP(D408,A!A$1:AK$767,32,FALSE)</f>
        <v/>
      </c>
      <c r="T408" s="10">
        <v>0.125</v>
      </c>
      <c r="U408" s="10">
        <f t="shared" si="40"/>
        <v>0</v>
      </c>
      <c r="X408" s="10"/>
    </row>
    <row r="409" spans="1:24" ht="11.25" hidden="1" customHeight="1" x14ac:dyDescent="0.25">
      <c r="A409" s="1" t="str">
        <f>IF(R409=0,"",COUNTIF(A$23:A408,"&gt;0")+1)</f>
        <v/>
      </c>
      <c r="B409" s="87"/>
      <c r="C409" s="63" t="s">
        <v>587</v>
      </c>
      <c r="D409" s="691" t="s">
        <v>182</v>
      </c>
      <c r="E409" s="65"/>
      <c r="F409" s="65"/>
      <c r="G409" s="89" t="s">
        <v>183</v>
      </c>
      <c r="H409" s="90" t="s">
        <v>184</v>
      </c>
      <c r="I409" s="67">
        <v>1</v>
      </c>
      <c r="J409" s="67"/>
      <c r="K409" s="68">
        <f>IF(VLOOKUP(D409,A!A$1:H$767,4,FALSE)="y",1,0)</f>
        <v>1</v>
      </c>
      <c r="L409" s="68">
        <f>IF(VLOOKUP(D409,A!A$1:O$767,12,FALSE)="y",1,0)</f>
        <v>0</v>
      </c>
      <c r="M409" s="711"/>
      <c r="N409" s="67"/>
      <c r="O409" s="93">
        <v>1</v>
      </c>
      <c r="P409" s="10">
        <f>VLOOKUP(D409,A!A$1:O$767,9,FALSE)</f>
        <v>0</v>
      </c>
      <c r="Q409" s="10" t="s">
        <v>716</v>
      </c>
      <c r="R409" s="10">
        <f>B409</f>
        <v>0</v>
      </c>
      <c r="S409" s="10">
        <f>VLOOKUP(D409,A!A$1:AK$767,32,FALSE)</f>
        <v>35</v>
      </c>
      <c r="T409" s="10">
        <v>0.125</v>
      </c>
      <c r="U409" s="10">
        <f>T409*B409</f>
        <v>0</v>
      </c>
      <c r="X409" s="10"/>
    </row>
    <row r="410" spans="1:24" ht="11.25" hidden="1" customHeight="1" x14ac:dyDescent="0.25">
      <c r="A410" s="1" t="str">
        <f>IF(R410=0,"",COUNTIF(A$23:A409,"&gt;0")+1)</f>
        <v/>
      </c>
      <c r="B410" s="87"/>
      <c r="C410" s="63" t="s">
        <v>587</v>
      </c>
      <c r="D410" s="64" t="s">
        <v>188</v>
      </c>
      <c r="E410" s="65"/>
      <c r="F410" s="65"/>
      <c r="G410" s="97" t="s">
        <v>189</v>
      </c>
      <c r="H410" s="66" t="s">
        <v>190</v>
      </c>
      <c r="I410" s="67">
        <f>VLOOKUP(D410,A!A$1:O$767,15,FALSE)</f>
        <v>2</v>
      </c>
      <c r="J410" s="67"/>
      <c r="K410" s="68">
        <f>IF(VLOOKUP(D410,A!A$1:H$767,4,FALSE)="y",1,0)</f>
        <v>1</v>
      </c>
      <c r="L410" s="68">
        <f>IF(VLOOKUP(D410,A!A$1:O$767,12,FALSE)="y",1,0)</f>
        <v>0</v>
      </c>
      <c r="M410" s="711" t="str">
        <f>IF(VLOOKUP(D410,A!A$1:O$767,10,FALSE)="y","NEW","")</f>
        <v/>
      </c>
      <c r="N410" s="67">
        <f>VLOOKUP(D410,A!A$1:O$767,13,FALSE)</f>
        <v>0</v>
      </c>
      <c r="O410" s="93">
        <v>2</v>
      </c>
      <c r="P410" s="10">
        <f>VLOOKUP(D410,A!A$1:O$767,9,FALSE)</f>
        <v>0</v>
      </c>
      <c r="Q410" s="10" t="s">
        <v>716</v>
      </c>
      <c r="R410" s="10">
        <f t="shared" si="39"/>
        <v>0</v>
      </c>
      <c r="S410" s="10">
        <f>VLOOKUP(D410,A!A$1:AK$767,32,FALSE)</f>
        <v>35</v>
      </c>
      <c r="T410" s="10">
        <v>0.125</v>
      </c>
      <c r="U410" s="10">
        <f t="shared" si="40"/>
        <v>0</v>
      </c>
      <c r="X410" s="10"/>
    </row>
    <row r="411" spans="1:24" ht="11.25" hidden="1" customHeight="1" x14ac:dyDescent="0.25">
      <c r="A411" s="1" t="str">
        <f>IF(R411=0,"",COUNTIF(A$23:A410,"&gt;0")+1)</f>
        <v/>
      </c>
      <c r="B411" s="87"/>
      <c r="C411" s="63" t="s">
        <v>587</v>
      </c>
      <c r="D411" s="64" t="s">
        <v>203</v>
      </c>
      <c r="E411" s="65"/>
      <c r="F411" s="65"/>
      <c r="G411" s="97" t="s">
        <v>201</v>
      </c>
      <c r="H411" s="66" t="s">
        <v>204</v>
      </c>
      <c r="I411" s="67">
        <f>VLOOKUP(D411,A!A$1:O$767,15,FALSE)</f>
        <v>1</v>
      </c>
      <c r="J411" s="67"/>
      <c r="K411" s="68">
        <f>IF(VLOOKUP(D411,A!A$1:H$767,4,FALSE)="y",1,0)</f>
        <v>0</v>
      </c>
      <c r="L411" s="68">
        <f>IF(VLOOKUP(D411,A!A$1:O$767,12,FALSE)="y",1,0)</f>
        <v>0</v>
      </c>
      <c r="M411" s="711" t="str">
        <f>IF(VLOOKUP(D411,A!A$1:O$767,10,FALSE)="y","NEW","")</f>
        <v/>
      </c>
      <c r="N411" s="67">
        <f>VLOOKUP(D411,A!A$1:O$767,13,FALSE)</f>
        <v>0</v>
      </c>
      <c r="O411" s="93" t="s">
        <v>73</v>
      </c>
      <c r="P411" s="10">
        <f>VLOOKUP(D411,A!A$1:O$767,9,FALSE)</f>
        <v>0</v>
      </c>
      <c r="Q411" s="10" t="s">
        <v>716</v>
      </c>
      <c r="R411" s="10">
        <f t="shared" si="39"/>
        <v>0</v>
      </c>
      <c r="S411" s="10" t="str">
        <f>VLOOKUP(D411,A!A$1:AK$767,32,FALSE)</f>
        <v/>
      </c>
      <c r="T411" s="10">
        <v>0.125</v>
      </c>
      <c r="U411" s="10">
        <f t="shared" si="40"/>
        <v>0</v>
      </c>
      <c r="X411" s="10"/>
    </row>
    <row r="412" spans="1:24" ht="11.25" hidden="1" customHeight="1" x14ac:dyDescent="0.25">
      <c r="A412" s="1" t="str">
        <f>IF(R412=0,"",COUNTIF(A$23:A411,"&gt;0")+1)</f>
        <v/>
      </c>
      <c r="B412" s="87"/>
      <c r="C412" s="63" t="s">
        <v>587</v>
      </c>
      <c r="D412" s="64" t="s">
        <v>205</v>
      </c>
      <c r="E412" s="65"/>
      <c r="F412" s="65"/>
      <c r="G412" s="97" t="s">
        <v>201</v>
      </c>
      <c r="H412" s="66" t="s">
        <v>206</v>
      </c>
      <c r="I412" s="67">
        <f>VLOOKUP(D412,A!A$1:O$767,15,FALSE)</f>
        <v>1</v>
      </c>
      <c r="J412" s="67"/>
      <c r="K412" s="68">
        <f>IF(VLOOKUP(D412,A!A$1:H$767,4,FALSE)="y",1,0)</f>
        <v>1</v>
      </c>
      <c r="L412" s="68">
        <f>IF(VLOOKUP(D412,A!A$1:O$767,12,FALSE)="y",1,0)</f>
        <v>0</v>
      </c>
      <c r="M412" s="711" t="str">
        <f>IF(VLOOKUP(D412,A!A$1:O$767,10,FALSE)="y","NEW","")</f>
        <v/>
      </c>
      <c r="N412" s="67">
        <f>VLOOKUP(D412,A!A$1:O$767,13,FALSE)</f>
        <v>0</v>
      </c>
      <c r="O412" s="93" t="s">
        <v>73</v>
      </c>
      <c r="P412" s="10">
        <f>VLOOKUP(D412,A!A$1:O$767,9,FALSE)</f>
        <v>0</v>
      </c>
      <c r="Q412" s="10" t="s">
        <v>716</v>
      </c>
      <c r="R412" s="10">
        <f t="shared" si="39"/>
        <v>0</v>
      </c>
      <c r="S412" s="10" t="str">
        <f>VLOOKUP(D412,A!A$1:AK$767,32,FALSE)</f>
        <v/>
      </c>
      <c r="T412" s="10">
        <v>0.125</v>
      </c>
      <c r="U412" s="10">
        <f t="shared" si="40"/>
        <v>0</v>
      </c>
      <c r="X412" s="10"/>
    </row>
    <row r="413" spans="1:24" ht="11.25" hidden="1" customHeight="1" x14ac:dyDescent="0.25">
      <c r="A413" s="1" t="str">
        <f>IF(R413=0,"",COUNTIF(A$23:A412,"&gt;0")+1)</f>
        <v/>
      </c>
      <c r="B413" s="87"/>
      <c r="C413" s="63" t="s">
        <v>587</v>
      </c>
      <c r="D413" s="64" t="s">
        <v>207</v>
      </c>
      <c r="E413" s="65"/>
      <c r="F413" s="65"/>
      <c r="G413" s="97" t="s">
        <v>201</v>
      </c>
      <c r="H413" s="66" t="s">
        <v>209</v>
      </c>
      <c r="I413" s="67">
        <f>VLOOKUP(D413,A!A$1:O$767,15,FALSE)</f>
        <v>1</v>
      </c>
      <c r="J413" s="67"/>
      <c r="K413" s="68">
        <f>IF(VLOOKUP(D413,A!A$1:H$767,4,FALSE)="y",1,0)</f>
        <v>0</v>
      </c>
      <c r="L413" s="68">
        <f>IF(VLOOKUP(D413,A!A$1:O$767,12,FALSE)="y",1,0)</f>
        <v>0</v>
      </c>
      <c r="M413" s="711" t="s">
        <v>64</v>
      </c>
      <c r="N413" s="67">
        <f>VLOOKUP(D413,A!A$1:O$767,13,FALSE)</f>
        <v>0</v>
      </c>
      <c r="O413" s="93" t="s">
        <v>73</v>
      </c>
      <c r="P413" s="10">
        <f>VLOOKUP(D413,A!A$1:O$767,9,FALSE)</f>
        <v>0</v>
      </c>
      <c r="Q413" s="10" t="s">
        <v>716</v>
      </c>
      <c r="R413" s="10">
        <f t="shared" si="39"/>
        <v>0</v>
      </c>
      <c r="S413" s="10">
        <f>VLOOKUP(D413,A!A$1:AK$767,32,FALSE)</f>
        <v>35</v>
      </c>
      <c r="T413" s="10">
        <v>0.125</v>
      </c>
      <c r="U413" s="10">
        <f t="shared" si="40"/>
        <v>0</v>
      </c>
      <c r="X413" s="10"/>
    </row>
    <row r="414" spans="1:24" ht="11.25" hidden="1" customHeight="1" x14ac:dyDescent="0.25">
      <c r="A414" s="1" t="str">
        <f>IF(R414=0,"",COUNTIF(A$23:A413,"&gt;0")+1)</f>
        <v/>
      </c>
      <c r="B414" s="87"/>
      <c r="C414" s="63" t="s">
        <v>587</v>
      </c>
      <c r="D414" s="64" t="s">
        <v>210</v>
      </c>
      <c r="E414" s="65"/>
      <c r="F414" s="65"/>
      <c r="G414" s="97" t="s">
        <v>727</v>
      </c>
      <c r="H414" s="66" t="s">
        <v>212</v>
      </c>
      <c r="I414" s="67">
        <f>VLOOKUP(D414,A!A$1:O$767,15,FALSE)</f>
        <v>1</v>
      </c>
      <c r="J414" s="67" t="s">
        <v>728</v>
      </c>
      <c r="K414" s="68">
        <f>IF(VLOOKUP(D414,A!A$1:H$767,4,FALSE)="y",1,0)</f>
        <v>0</v>
      </c>
      <c r="L414" s="68">
        <f>IF(VLOOKUP(D414,A!A$1:O$767,12,FALSE)="y",1,0)</f>
        <v>0</v>
      </c>
      <c r="M414" s="711" t="str">
        <f>IF(VLOOKUP(D414,A!A$1:O$767,10,FALSE)="y","NEW","")</f>
        <v/>
      </c>
      <c r="N414" s="67">
        <f>VLOOKUP(D414,A!A$1:O$767,13,FALSE)</f>
        <v>0</v>
      </c>
      <c r="O414" s="93" t="s">
        <v>73</v>
      </c>
      <c r="P414" s="10">
        <f>VLOOKUP(D414,A!A$1:O$767,9,FALSE)</f>
        <v>0</v>
      </c>
      <c r="Q414" s="10" t="s">
        <v>716</v>
      </c>
      <c r="R414" s="10">
        <f t="shared" ref="R414:R449" si="43">B414</f>
        <v>0</v>
      </c>
      <c r="S414" s="10">
        <f>VLOOKUP(D414,A!A$1:AK$767,32,FALSE)</f>
        <v>25</v>
      </c>
      <c r="T414" s="10">
        <v>0.125</v>
      </c>
      <c r="U414" s="10">
        <f t="shared" ref="U414:U449" si="44">T414*B414</f>
        <v>0</v>
      </c>
      <c r="X414" s="10"/>
    </row>
    <row r="415" spans="1:24" ht="11.25" hidden="1" customHeight="1" x14ac:dyDescent="0.25">
      <c r="A415" s="1" t="str">
        <f>IF(R415=0,"",COUNTIF(A$23:A414,"&gt;0")+1)</f>
        <v/>
      </c>
      <c r="B415" s="87"/>
      <c r="C415" s="63" t="s">
        <v>587</v>
      </c>
      <c r="D415" s="64" t="s">
        <v>213</v>
      </c>
      <c r="E415" s="65"/>
      <c r="F415" s="65"/>
      <c r="G415" s="97" t="s">
        <v>729</v>
      </c>
      <c r="H415" s="66" t="s">
        <v>215</v>
      </c>
      <c r="I415" s="67">
        <f>VLOOKUP(D415,A!A$1:O$767,15,FALSE)</f>
        <v>1</v>
      </c>
      <c r="J415" s="67"/>
      <c r="K415" s="68">
        <f>IF(VLOOKUP(D415,A!A$1:H$767,4,FALSE)="y",1,0)</f>
        <v>0</v>
      </c>
      <c r="L415" s="68">
        <f>IF(VLOOKUP(D415,A!A$1:O$767,12,FALSE)="y",1,0)</f>
        <v>0</v>
      </c>
      <c r="M415" s="711"/>
      <c r="N415" s="67">
        <f>VLOOKUP(D415,A!A$1:O$767,13,FALSE)</f>
        <v>0</v>
      </c>
      <c r="O415" s="93" t="s">
        <v>73</v>
      </c>
      <c r="P415" s="10">
        <f>VLOOKUP(D415,A!A$1:O$767,9,FALSE)</f>
        <v>0</v>
      </c>
      <c r="Q415" s="10" t="s">
        <v>716</v>
      </c>
      <c r="R415" s="10">
        <f t="shared" si="43"/>
        <v>0</v>
      </c>
      <c r="S415" s="10">
        <f>VLOOKUP(D415,A!A$1:AK$767,32,FALSE)</f>
        <v>55</v>
      </c>
      <c r="T415" s="10">
        <v>0.125</v>
      </c>
      <c r="U415" s="10">
        <f t="shared" si="44"/>
        <v>0</v>
      </c>
      <c r="X415" s="10"/>
    </row>
    <row r="416" spans="1:24" ht="11.25" hidden="1" customHeight="1" x14ac:dyDescent="0.25">
      <c r="A416" s="1" t="str">
        <f>IF(R416=0,"",COUNTIF(A$23:A415,"&gt;0")+1)</f>
        <v/>
      </c>
      <c r="B416" s="87"/>
      <c r="C416" s="603" t="s">
        <v>587</v>
      </c>
      <c r="D416" s="691" t="s">
        <v>809</v>
      </c>
      <c r="E416" s="65"/>
      <c r="F416" s="65"/>
      <c r="G416" s="97" t="s">
        <v>1319</v>
      </c>
      <c r="H416" s="66" t="s">
        <v>1302</v>
      </c>
      <c r="I416" s="67">
        <v>1</v>
      </c>
      <c r="J416" s="67"/>
      <c r="K416" s="68">
        <f>IF(VLOOKUP(D416,A!A$1:H$767,4,FALSE)="y",1,0)</f>
        <v>0</v>
      </c>
      <c r="L416" s="68">
        <f>IF(VLOOKUP(D416,A!A$1:O$767,12,FALSE)="y",1,0)</f>
        <v>0</v>
      </c>
      <c r="M416" s="711"/>
      <c r="N416" s="67"/>
      <c r="O416" s="93" t="s">
        <v>73</v>
      </c>
      <c r="P416" s="10">
        <f>VLOOKUP(D416,A!A$1:O$767,9,FALSE)</f>
        <v>0</v>
      </c>
      <c r="Q416" s="10" t="s">
        <v>716</v>
      </c>
      <c r="R416" s="10">
        <f>B416</f>
        <v>0</v>
      </c>
      <c r="S416" s="10">
        <f>VLOOKUP(D416,A!A$1:AK$767,32,FALSE)</f>
        <v>55</v>
      </c>
      <c r="T416" s="10">
        <v>0.125</v>
      </c>
      <c r="U416" s="10">
        <f>T416*B416</f>
        <v>0</v>
      </c>
      <c r="X416" s="10"/>
    </row>
    <row r="417" spans="1:24" ht="11.25" hidden="1" customHeight="1" x14ac:dyDescent="0.25">
      <c r="A417" s="1" t="str">
        <f>IF(R417=0,"",COUNTIF(A$23:A416,"&gt;0")+1)</f>
        <v/>
      </c>
      <c r="B417" s="87"/>
      <c r="C417" s="63" t="s">
        <v>587</v>
      </c>
      <c r="D417" s="64" t="s">
        <v>216</v>
      </c>
      <c r="E417" s="65"/>
      <c r="F417" s="65"/>
      <c r="G417" s="97" t="s">
        <v>729</v>
      </c>
      <c r="H417" s="66" t="s">
        <v>730</v>
      </c>
      <c r="I417" s="67">
        <v>1</v>
      </c>
      <c r="J417" s="67"/>
      <c r="K417" s="68">
        <f>IF(VLOOKUP(D417,A!A$1:H$767,4,FALSE)="y",1,0)</f>
        <v>0</v>
      </c>
      <c r="L417" s="68">
        <f>IF(VLOOKUP(D417,A!A$1:O$767,12,FALSE)="y",1,0)</f>
        <v>0</v>
      </c>
      <c r="M417" s="711" t="str">
        <f>IF(VLOOKUP(D417,A!A$1:O$767,10,FALSE)="y","NEW","")</f>
        <v/>
      </c>
      <c r="N417" s="67">
        <f>VLOOKUP(D417,A!A$1:O$767,13,FALSE)</f>
        <v>0</v>
      </c>
      <c r="O417" s="93" t="s">
        <v>367</v>
      </c>
      <c r="P417" s="10">
        <f>VLOOKUP(D417,A!A$1:O$767,9,FALSE)</f>
        <v>0</v>
      </c>
      <c r="Q417" s="10" t="s">
        <v>716</v>
      </c>
      <c r="R417" s="10">
        <f t="shared" si="43"/>
        <v>0</v>
      </c>
      <c r="S417" s="10" t="str">
        <f>VLOOKUP(D417,A!A$1:AK$767,32,FALSE)</f>
        <v/>
      </c>
      <c r="T417" s="10">
        <v>0.125</v>
      </c>
      <c r="U417" s="10">
        <f t="shared" si="44"/>
        <v>0</v>
      </c>
      <c r="X417" s="10"/>
    </row>
    <row r="418" spans="1:24" ht="11.25" hidden="1" customHeight="1" x14ac:dyDescent="0.25">
      <c r="A418" s="1" t="str">
        <f>IF(R418=0,"",COUNTIF(A$23:A417,"&gt;0")+1)</f>
        <v/>
      </c>
      <c r="B418" s="87"/>
      <c r="C418" s="63" t="s">
        <v>587</v>
      </c>
      <c r="D418" s="64" t="s">
        <v>217</v>
      </c>
      <c r="E418" s="65"/>
      <c r="F418" s="65"/>
      <c r="G418" s="97" t="s">
        <v>731</v>
      </c>
      <c r="H418" s="66" t="s">
        <v>732</v>
      </c>
      <c r="I418" s="67">
        <v>1</v>
      </c>
      <c r="J418" s="67"/>
      <c r="K418" s="68">
        <f>IF(VLOOKUP(D418,A!A$1:H$767,4,FALSE)="y",1,0)</f>
        <v>0</v>
      </c>
      <c r="L418" s="68">
        <f>IF(VLOOKUP(D418,A!A$1:O$767,12,FALSE)="y",1,0)</f>
        <v>0</v>
      </c>
      <c r="M418" s="711" t="str">
        <f>IF(VLOOKUP(D418,A!A$1:O$767,10,FALSE)="y","NEW","")</f>
        <v/>
      </c>
      <c r="N418" s="67">
        <f>VLOOKUP(D418,A!A$1:O$767,13,FALSE)</f>
        <v>0</v>
      </c>
      <c r="O418" s="93" t="s">
        <v>369</v>
      </c>
      <c r="P418" s="10">
        <f>VLOOKUP(D418,A!A$1:O$767,9,FALSE)</f>
        <v>0</v>
      </c>
      <c r="Q418" s="10" t="s">
        <v>716</v>
      </c>
      <c r="R418" s="10">
        <f t="shared" si="43"/>
        <v>0</v>
      </c>
      <c r="S418" s="10">
        <f>VLOOKUP(D418,A!A$1:AK$767,32,FALSE)</f>
        <v>55</v>
      </c>
      <c r="T418" s="10">
        <v>0.125</v>
      </c>
      <c r="U418" s="10">
        <f t="shared" si="44"/>
        <v>0</v>
      </c>
      <c r="X418" s="10"/>
    </row>
    <row r="419" spans="1:24" ht="11.25" customHeight="1" x14ac:dyDescent="0.25">
      <c r="A419" s="1" t="str">
        <f>IF(R419=0,"",COUNTIF(A$23:A418,"&gt;0")+1)</f>
        <v/>
      </c>
      <c r="B419" s="87"/>
      <c r="C419" s="63" t="s">
        <v>587</v>
      </c>
      <c r="D419" s="527" t="s">
        <v>1415</v>
      </c>
      <c r="E419" s="65"/>
      <c r="F419" s="65"/>
      <c r="G419" s="89" t="s">
        <v>731</v>
      </c>
      <c r="H419" s="90" t="s">
        <v>1418</v>
      </c>
      <c r="I419" s="67">
        <f>VLOOKUP(D419,A!A$1:H$767,8,FALSE)</f>
        <v>1</v>
      </c>
      <c r="J419" s="67"/>
      <c r="K419" s="989">
        <v>5021353014617</v>
      </c>
      <c r="L419" s="68">
        <f>IF(VLOOKUP(D419,A!A$1:O$767,12,FALSE)="y",1,0)</f>
        <v>1</v>
      </c>
      <c r="M419" s="711" t="s">
        <v>726</v>
      </c>
      <c r="N419" s="67"/>
      <c r="O419" s="93" t="s">
        <v>73</v>
      </c>
      <c r="P419" s="10" t="str">
        <f>VLOOKUP(D419,A!A$1:O$767,9,FALSE)</f>
        <v>y</v>
      </c>
      <c r="Q419" s="10" t="s">
        <v>716</v>
      </c>
      <c r="R419" s="10">
        <f>B419</f>
        <v>0</v>
      </c>
      <c r="S419" s="10">
        <f>VLOOKUP(D419,A!A$1:AK$767,32,FALSE)</f>
        <v>55</v>
      </c>
      <c r="T419" s="10">
        <v>0.125</v>
      </c>
      <c r="U419" s="10">
        <f>T419*B419</f>
        <v>0</v>
      </c>
      <c r="X419" s="10"/>
    </row>
    <row r="420" spans="1:24" ht="11.25" hidden="1" customHeight="1" x14ac:dyDescent="0.25">
      <c r="A420" s="1" t="str">
        <f>IF(R420=0,"",COUNTIF(A$23:A419,"&gt;0")+1)</f>
        <v/>
      </c>
      <c r="B420" s="87"/>
      <c r="C420" s="63" t="s">
        <v>587</v>
      </c>
      <c r="D420" s="64" t="s">
        <v>218</v>
      </c>
      <c r="E420" s="65"/>
      <c r="F420" s="65"/>
      <c r="G420" s="97" t="s">
        <v>731</v>
      </c>
      <c r="H420" s="66" t="s">
        <v>733</v>
      </c>
      <c r="I420" s="67">
        <v>1</v>
      </c>
      <c r="J420" s="67"/>
      <c r="K420" s="68">
        <f>IF(VLOOKUP(D420,A!A$1:H$767,4,FALSE)="y",1,0)</f>
        <v>0</v>
      </c>
      <c r="L420" s="68">
        <f>IF(VLOOKUP(D420,A!A$1:O$767,12,FALSE)="y",1,0)</f>
        <v>0</v>
      </c>
      <c r="M420" s="711"/>
      <c r="N420" s="67">
        <f>VLOOKUP(D420,A!A$1:O$767,13,FALSE)</f>
        <v>0</v>
      </c>
      <c r="O420" s="93" t="s">
        <v>1416</v>
      </c>
      <c r="P420" s="10">
        <f>VLOOKUP(D420,A!A$1:O$767,9,FALSE)</f>
        <v>0</v>
      </c>
      <c r="Q420" s="10" t="s">
        <v>716</v>
      </c>
      <c r="R420" s="10">
        <f t="shared" si="43"/>
        <v>0</v>
      </c>
      <c r="S420" s="10">
        <f>VLOOKUP(D420,A!A$1:AK$767,32,FALSE)</f>
        <v>55</v>
      </c>
      <c r="T420" s="10">
        <v>0.125</v>
      </c>
      <c r="U420" s="10">
        <f t="shared" si="44"/>
        <v>0</v>
      </c>
      <c r="X420" s="10"/>
    </row>
    <row r="421" spans="1:24" ht="11.25" customHeight="1" x14ac:dyDescent="0.25">
      <c r="A421" s="1" t="str">
        <f>IF(R421=0,"",COUNTIF(A$23:A420,"&gt;0")+1)</f>
        <v/>
      </c>
      <c r="B421" s="87"/>
      <c r="C421" s="63" t="s">
        <v>587</v>
      </c>
      <c r="D421" s="64" t="s">
        <v>219</v>
      </c>
      <c r="E421" s="65"/>
      <c r="F421" s="65"/>
      <c r="G421" s="97" t="s">
        <v>1426</v>
      </c>
      <c r="H421" s="90" t="s">
        <v>221</v>
      </c>
      <c r="I421" s="67">
        <v>1</v>
      </c>
      <c r="J421" s="67"/>
      <c r="K421" s="68">
        <f>IF(VLOOKUP(D421,A!A$1:O$767,11,FALSE)="y",1,0)</f>
        <v>1</v>
      </c>
      <c r="L421" s="68"/>
      <c r="M421" s="711"/>
      <c r="N421" s="67"/>
      <c r="O421" s="93" t="s">
        <v>73</v>
      </c>
      <c r="P421" s="10" t="str">
        <f>VLOOKUP(D421,A!A$1:O$767,9,FALSE)</f>
        <v>y</v>
      </c>
      <c r="Q421" s="10" t="s">
        <v>716</v>
      </c>
      <c r="R421" s="10">
        <f>B421</f>
        <v>0</v>
      </c>
      <c r="S421" s="10">
        <f>VLOOKUP(D421,A!A$1:AK$767,32,FALSE)</f>
        <v>55</v>
      </c>
      <c r="T421" s="10">
        <v>0.125</v>
      </c>
      <c r="U421" s="10">
        <f>T421*B421</f>
        <v>0</v>
      </c>
      <c r="X421" s="10"/>
    </row>
    <row r="422" spans="1:24" ht="11.25" customHeight="1" x14ac:dyDescent="0.25">
      <c r="A422" s="1" t="str">
        <f>IF(R422=0,"",COUNTIF(A$23:A421,"&gt;0")+1)</f>
        <v/>
      </c>
      <c r="B422" s="87"/>
      <c r="C422" s="63" t="s">
        <v>587</v>
      </c>
      <c r="D422" s="64" t="s">
        <v>224</v>
      </c>
      <c r="E422" s="65"/>
      <c r="F422" s="65"/>
      <c r="G422" s="97" t="s">
        <v>220</v>
      </c>
      <c r="H422" s="66" t="s">
        <v>225</v>
      </c>
      <c r="I422" s="67">
        <v>1</v>
      </c>
      <c r="J422" s="67"/>
      <c r="K422" s="68">
        <f>IF(VLOOKUP(D422,A!A$1:O$767,11,FALSE)="y",1,0)</f>
        <v>1</v>
      </c>
      <c r="L422" s="68">
        <f>IF(VLOOKUP(D422,A!A$1:O$767,12,FALSE)="y",1,0)</f>
        <v>0</v>
      </c>
      <c r="M422" s="711"/>
      <c r="N422" s="67">
        <f>VLOOKUP(D422,A!A$1:O$767,13,FALSE)</f>
        <v>0</v>
      </c>
      <c r="O422" s="93" t="s">
        <v>73</v>
      </c>
      <c r="P422" s="10" t="str">
        <f>VLOOKUP(D422,A!A$1:O$767,9,FALSE)</f>
        <v>y</v>
      </c>
      <c r="Q422" s="10" t="s">
        <v>716</v>
      </c>
      <c r="R422" s="10">
        <f t="shared" si="43"/>
        <v>0</v>
      </c>
      <c r="S422" s="10">
        <f>VLOOKUP(D422,A!A$1:AK$767,32,FALSE)</f>
        <v>55</v>
      </c>
      <c r="T422" s="10">
        <v>0.125</v>
      </c>
      <c r="U422" s="10">
        <f t="shared" si="44"/>
        <v>0</v>
      </c>
      <c r="X422" s="10"/>
    </row>
    <row r="423" spans="1:24" ht="11.25" hidden="1" customHeight="1" x14ac:dyDescent="0.25">
      <c r="A423" s="1" t="str">
        <f>IF(R423=0,"",COUNTIF(A$23:A422,"&gt;0")+1)</f>
        <v/>
      </c>
      <c r="B423" s="87"/>
      <c r="C423" s="63" t="s">
        <v>587</v>
      </c>
      <c r="D423" s="64" t="s">
        <v>734</v>
      </c>
      <c r="E423" s="65"/>
      <c r="F423" s="65"/>
      <c r="G423" s="97" t="s">
        <v>220</v>
      </c>
      <c r="H423" s="66" t="s">
        <v>735</v>
      </c>
      <c r="I423" s="67">
        <v>1</v>
      </c>
      <c r="J423" s="67"/>
      <c r="K423" s="68">
        <f>IF(VLOOKUP(D423,A!A$1:O$767,11,FALSE)="y",1,0)</f>
        <v>0</v>
      </c>
      <c r="L423" s="68">
        <f>IF(VLOOKUP(D423,A!A$1:O$767,12,FALSE)="y",1,0)</f>
        <v>0</v>
      </c>
      <c r="M423" s="711"/>
      <c r="N423" s="67">
        <f>VLOOKUP(D423,A!A$1:O$767,13,FALSE)</f>
        <v>0</v>
      </c>
      <c r="O423" s="93" t="s">
        <v>1419</v>
      </c>
      <c r="P423" s="10">
        <f>VLOOKUP(D423,A!A$1:O$767,9,FALSE)</f>
        <v>0</v>
      </c>
      <c r="Q423" s="10" t="s">
        <v>716</v>
      </c>
      <c r="R423" s="10">
        <f t="shared" si="43"/>
        <v>0</v>
      </c>
      <c r="S423" s="10" t="str">
        <f>VLOOKUP(D423,A!A$1:AK$767,32,FALSE)</f>
        <v/>
      </c>
      <c r="T423" s="10">
        <v>0.125</v>
      </c>
      <c r="U423" s="10">
        <f t="shared" si="44"/>
        <v>0</v>
      </c>
      <c r="X423" s="10"/>
    </row>
    <row r="424" spans="1:24" ht="11.25" customHeight="1" x14ac:dyDescent="0.25">
      <c r="A424" s="1" t="str">
        <f>IF(R424=0,"",COUNTIF(A$23:A423,"&gt;0")+1)</f>
        <v/>
      </c>
      <c r="B424" s="87"/>
      <c r="C424" s="63" t="s">
        <v>587</v>
      </c>
      <c r="D424" s="64" t="s">
        <v>222</v>
      </c>
      <c r="E424" s="65"/>
      <c r="F424" s="65"/>
      <c r="G424" s="97" t="s">
        <v>220</v>
      </c>
      <c r="H424" s="66" t="s">
        <v>736</v>
      </c>
      <c r="I424" s="67">
        <v>1</v>
      </c>
      <c r="J424" s="67"/>
      <c r="K424" s="68">
        <f>IF(VLOOKUP(D424,A!A$1:O$767,11,FALSE)="y",1,0)</f>
        <v>1</v>
      </c>
      <c r="L424" s="68">
        <f>IF(VLOOKUP(D424,A!A$1:O$767,12,FALSE)="y",1,0)</f>
        <v>0</v>
      </c>
      <c r="M424" s="711"/>
      <c r="N424" s="67">
        <f>VLOOKUP(D424,A!A$1:O$767,13,FALSE)</f>
        <v>0</v>
      </c>
      <c r="O424" s="93" t="s">
        <v>73</v>
      </c>
      <c r="P424" s="10" t="str">
        <f>VLOOKUP(D424,A!A$1:O$767,9,FALSE)</f>
        <v>y</v>
      </c>
      <c r="Q424" s="10" t="s">
        <v>716</v>
      </c>
      <c r="R424" s="10">
        <f t="shared" si="43"/>
        <v>0</v>
      </c>
      <c r="S424" s="10">
        <f>VLOOKUP(D424,A!A$1:AK$767,32,FALSE)</f>
        <v>55</v>
      </c>
      <c r="T424" s="10">
        <v>0.125</v>
      </c>
      <c r="U424" s="10">
        <f t="shared" si="44"/>
        <v>0</v>
      </c>
      <c r="X424" s="10"/>
    </row>
    <row r="425" spans="1:24" ht="11.25" hidden="1" customHeight="1" x14ac:dyDescent="0.25">
      <c r="A425" s="1" t="str">
        <f>IF(R425=0,"",COUNTIF(A$23:A424,"&gt;0")+1)</f>
        <v/>
      </c>
      <c r="B425" s="87"/>
      <c r="C425" s="63" t="s">
        <v>587</v>
      </c>
      <c r="D425" s="64" t="s">
        <v>226</v>
      </c>
      <c r="E425" s="65"/>
      <c r="F425" s="65"/>
      <c r="G425" s="97" t="s">
        <v>227</v>
      </c>
      <c r="H425" s="66" t="s">
        <v>228</v>
      </c>
      <c r="I425" s="67">
        <v>1</v>
      </c>
      <c r="J425" s="67"/>
      <c r="K425" s="68">
        <f>IF(VLOOKUP(D425,A!A$1:O$767,11,FALSE)="y",1,0)</f>
        <v>0</v>
      </c>
      <c r="L425" s="68">
        <f>IF(VLOOKUP(D425,A!A$1:O$767,12,FALSE)="y",1,0)</f>
        <v>0</v>
      </c>
      <c r="M425" s="711"/>
      <c r="N425" s="67">
        <f>VLOOKUP(D425,A!A$1:O$767,13,FALSE)</f>
        <v>0</v>
      </c>
      <c r="O425" s="93" t="s">
        <v>1420</v>
      </c>
      <c r="P425" s="10">
        <f>VLOOKUP(D425,A!A$1:O$767,9,FALSE)</f>
        <v>0</v>
      </c>
      <c r="Q425" s="10" t="s">
        <v>716</v>
      </c>
      <c r="R425" s="10">
        <f t="shared" si="43"/>
        <v>0</v>
      </c>
      <c r="S425" s="10">
        <f>VLOOKUP(D425,A!A$1:AK$767,32,FALSE)</f>
        <v>55</v>
      </c>
      <c r="T425" s="10">
        <v>0.125</v>
      </c>
      <c r="U425" s="10">
        <f t="shared" si="44"/>
        <v>0</v>
      </c>
      <c r="X425" s="10"/>
    </row>
    <row r="426" spans="1:24" ht="11.25" hidden="1" customHeight="1" x14ac:dyDescent="0.25">
      <c r="A426" s="1" t="str">
        <f>IF(R426=0,"",COUNTIF(A$23:A425,"&gt;0")+1)</f>
        <v/>
      </c>
      <c r="B426" s="87"/>
      <c r="C426" s="63" t="s">
        <v>587</v>
      </c>
      <c r="D426" s="64" t="s">
        <v>229</v>
      </c>
      <c r="E426" s="65"/>
      <c r="F426" s="65"/>
      <c r="G426" s="97" t="s">
        <v>220</v>
      </c>
      <c r="H426" s="66" t="s">
        <v>230</v>
      </c>
      <c r="I426" s="67">
        <v>1</v>
      </c>
      <c r="J426" s="67"/>
      <c r="K426" s="68">
        <f>IF(VLOOKUP(D426,A!A$1:O$767,11,FALSE)="y",1,0)</f>
        <v>0</v>
      </c>
      <c r="L426" s="68">
        <f>IF(VLOOKUP(D426,A!A$1:O$767,12,FALSE)="y",1,0)</f>
        <v>0</v>
      </c>
      <c r="M426" s="711"/>
      <c r="N426" s="67">
        <f>VLOOKUP(D426,A!A$1:O$767,13,FALSE)</f>
        <v>0</v>
      </c>
      <c r="O426" s="93" t="s">
        <v>1421</v>
      </c>
      <c r="P426" s="10">
        <f>VLOOKUP(D426,A!A$1:O$767,9,FALSE)</f>
        <v>0</v>
      </c>
      <c r="Q426" s="10" t="s">
        <v>716</v>
      </c>
      <c r="R426" s="10">
        <f t="shared" si="43"/>
        <v>0</v>
      </c>
      <c r="S426" s="10">
        <f>VLOOKUP(D426,A!A$1:AK$767,32,FALSE)</f>
        <v>55</v>
      </c>
      <c r="T426" s="10">
        <v>0.125</v>
      </c>
      <c r="U426" s="10">
        <f t="shared" si="44"/>
        <v>0</v>
      </c>
      <c r="X426" s="10"/>
    </row>
    <row r="427" spans="1:24" ht="11.25" hidden="1" customHeight="1" x14ac:dyDescent="0.25">
      <c r="A427" s="1" t="str">
        <f>IF(R427=0,"",COUNTIF(A$23:A426,"&gt;0")+1)</f>
        <v/>
      </c>
      <c r="B427" s="87"/>
      <c r="C427" s="63" t="s">
        <v>587</v>
      </c>
      <c r="D427" s="64" t="s">
        <v>737</v>
      </c>
      <c r="E427" s="65"/>
      <c r="F427" s="65"/>
      <c r="G427" s="97" t="s">
        <v>738</v>
      </c>
      <c r="H427" s="66" t="s">
        <v>335</v>
      </c>
      <c r="I427" s="67">
        <v>1</v>
      </c>
      <c r="J427" s="67"/>
      <c r="K427" s="68">
        <f>IF(VLOOKUP(D427,A!A$1:O$767,11,FALSE)="y",1,0)</f>
        <v>0</v>
      </c>
      <c r="L427" s="68">
        <f>IF(VLOOKUP(D427,A!A$1:O$767,12,FALSE)="y",1,0)</f>
        <v>0</v>
      </c>
      <c r="M427" s="711"/>
      <c r="N427" s="67">
        <f>VLOOKUP(D427,A!A$1:O$767,13,FALSE)</f>
        <v>0</v>
      </c>
      <c r="O427" s="93" t="s">
        <v>1422</v>
      </c>
      <c r="P427" s="10">
        <f>VLOOKUP(D427,A!A$1:O$767,9,FALSE)</f>
        <v>0</v>
      </c>
      <c r="Q427" s="10" t="s">
        <v>716</v>
      </c>
      <c r="R427" s="10">
        <f t="shared" si="43"/>
        <v>0</v>
      </c>
      <c r="S427" s="10" t="str">
        <f>VLOOKUP(D427,A!A$1:AK$767,32,FALSE)</f>
        <v/>
      </c>
      <c r="T427" s="10">
        <v>0.125</v>
      </c>
      <c r="U427" s="10">
        <f t="shared" si="44"/>
        <v>0</v>
      </c>
      <c r="X427" s="10"/>
    </row>
    <row r="428" spans="1:24" ht="11.25" customHeight="1" x14ac:dyDescent="0.25">
      <c r="A428" s="1" t="str">
        <f>IF(R428=0,"",COUNTIF(A$23:A427,"&gt;0")+1)</f>
        <v/>
      </c>
      <c r="B428" s="87"/>
      <c r="C428" s="63" t="s">
        <v>587</v>
      </c>
      <c r="D428" s="64" t="s">
        <v>231</v>
      </c>
      <c r="E428" s="65"/>
      <c r="F428" s="65"/>
      <c r="G428" s="97" t="s">
        <v>232</v>
      </c>
      <c r="H428" s="66" t="s">
        <v>233</v>
      </c>
      <c r="I428" s="67">
        <v>1</v>
      </c>
      <c r="J428" s="67" t="s">
        <v>63</v>
      </c>
      <c r="K428" s="68">
        <f>IF(VLOOKUP(D428,A!A$1:O$767,11,FALSE)="y",1,0)</f>
        <v>1</v>
      </c>
      <c r="L428" s="68">
        <f>IF(VLOOKUP(D428,A!A$1:O$767,12,FALSE)="y",1,0)</f>
        <v>1</v>
      </c>
      <c r="M428" s="711"/>
      <c r="N428" s="67">
        <f>VLOOKUP(D428,A!A$1:O$767,13,FALSE)</f>
        <v>0</v>
      </c>
      <c r="O428" s="93" t="s">
        <v>55</v>
      </c>
      <c r="P428" s="10" t="str">
        <f>VLOOKUP(D428,A!A$1:O$767,9,FALSE)</f>
        <v>y</v>
      </c>
      <c r="Q428" s="10" t="s">
        <v>716</v>
      </c>
      <c r="R428" s="10">
        <f t="shared" si="43"/>
        <v>0</v>
      </c>
      <c r="S428" s="10">
        <f>VLOOKUP(D428,A!A$1:AK$767,32,FALSE)</f>
        <v>55</v>
      </c>
      <c r="T428" s="10">
        <v>0.125</v>
      </c>
      <c r="U428" s="10">
        <f t="shared" si="44"/>
        <v>0</v>
      </c>
      <c r="X428" s="10"/>
    </row>
    <row r="429" spans="1:24" ht="11.25" hidden="1" customHeight="1" x14ac:dyDescent="0.25">
      <c r="A429" s="1" t="str">
        <f>IF(R429=0,"",COUNTIF(A$23:A428,"&gt;0")+1)</f>
        <v/>
      </c>
      <c r="B429" s="87"/>
      <c r="C429" s="63" t="s">
        <v>587</v>
      </c>
      <c r="D429" s="64" t="s">
        <v>739</v>
      </c>
      <c r="E429" s="65"/>
      <c r="F429" s="65"/>
      <c r="G429" s="97" t="s">
        <v>740</v>
      </c>
      <c r="H429" s="66" t="s">
        <v>741</v>
      </c>
      <c r="I429" s="67">
        <v>1</v>
      </c>
      <c r="J429" s="67"/>
      <c r="K429" s="68">
        <f>IF(VLOOKUP(D429,A!A$1:O$767,11,FALSE)="y",1,0)</f>
        <v>0</v>
      </c>
      <c r="L429" s="68">
        <f>IF(VLOOKUP(D429,A!A$1:O$767,12,FALSE)="y",1,0)</f>
        <v>0</v>
      </c>
      <c r="M429" s="711"/>
      <c r="N429" s="67">
        <f>VLOOKUP(D429,A!A$1:O$767,13,FALSE)</f>
        <v>0</v>
      </c>
      <c r="O429" s="93" t="s">
        <v>1423</v>
      </c>
      <c r="P429" s="10">
        <f>VLOOKUP(D429,A!A$1:O$767,9,FALSE)</f>
        <v>0</v>
      </c>
      <c r="Q429" s="10" t="s">
        <v>716</v>
      </c>
      <c r="R429" s="10">
        <f t="shared" si="43"/>
        <v>0</v>
      </c>
      <c r="S429" s="10" t="str">
        <f>VLOOKUP(D429,A!A$1:AK$767,32,FALSE)</f>
        <v/>
      </c>
      <c r="T429" s="10">
        <v>0.125</v>
      </c>
      <c r="U429" s="10">
        <f t="shared" si="44"/>
        <v>0</v>
      </c>
      <c r="X429" s="10"/>
    </row>
    <row r="430" spans="1:24" ht="11.25" hidden="1" customHeight="1" x14ac:dyDescent="0.25">
      <c r="A430" s="1" t="str">
        <f>IF(R430=0,"",COUNTIF(A$23:A429,"&gt;0")+1)</f>
        <v/>
      </c>
      <c r="B430" s="87"/>
      <c r="C430" s="63" t="s">
        <v>587</v>
      </c>
      <c r="D430" s="64" t="s">
        <v>742</v>
      </c>
      <c r="E430" s="65"/>
      <c r="F430" s="65"/>
      <c r="G430" s="97" t="s">
        <v>743</v>
      </c>
      <c r="H430" s="66" t="s">
        <v>744</v>
      </c>
      <c r="I430" s="67">
        <v>1</v>
      </c>
      <c r="J430" s="67"/>
      <c r="K430" s="68">
        <f>IF(VLOOKUP(D430,A!A$1:O$767,11,FALSE)="y",1,0)</f>
        <v>0</v>
      </c>
      <c r="L430" s="68">
        <f>IF(VLOOKUP(D430,A!A$1:O$767,12,FALSE)="y",1,0)</f>
        <v>0</v>
      </c>
      <c r="M430" s="711"/>
      <c r="N430" s="67">
        <f>VLOOKUP(D430,A!A$1:O$767,13,FALSE)</f>
        <v>0</v>
      </c>
      <c r="O430" s="93" t="s">
        <v>1424</v>
      </c>
      <c r="P430" s="10">
        <f>VLOOKUP(D430,A!A$1:O$767,9,FALSE)</f>
        <v>0</v>
      </c>
      <c r="Q430" s="10" t="s">
        <v>716</v>
      </c>
      <c r="R430" s="10">
        <f t="shared" si="43"/>
        <v>0</v>
      </c>
      <c r="S430" s="10" t="str">
        <f>VLOOKUP(D430,A!A$1:AK$767,32,FALSE)</f>
        <v/>
      </c>
      <c r="T430" s="10">
        <v>0.125</v>
      </c>
      <c r="U430" s="10">
        <f t="shared" si="44"/>
        <v>0</v>
      </c>
      <c r="X430" s="10"/>
    </row>
    <row r="431" spans="1:24" ht="11.25" hidden="1" customHeight="1" x14ac:dyDescent="0.25">
      <c r="A431" s="1" t="str">
        <f>IF(R431=0,"",COUNTIF(A$23:A430,"&gt;0")+1)</f>
        <v/>
      </c>
      <c r="B431" s="87"/>
      <c r="C431" s="63" t="s">
        <v>587</v>
      </c>
      <c r="D431" s="64" t="s">
        <v>745</v>
      </c>
      <c r="E431" s="65"/>
      <c r="F431" s="65"/>
      <c r="G431" s="97" t="s">
        <v>444</v>
      </c>
      <c r="H431" s="66" t="s">
        <v>746</v>
      </c>
      <c r="I431" s="67">
        <v>1</v>
      </c>
      <c r="J431" s="67"/>
      <c r="K431" s="68">
        <f>IF(VLOOKUP(D431,A!A$1:O$767,11,FALSE)="y",1,0)</f>
        <v>0</v>
      </c>
      <c r="L431" s="68">
        <f>IF(VLOOKUP(D431,A!A$1:O$767,12,FALSE)="y",1,0)</f>
        <v>0</v>
      </c>
      <c r="M431" s="711"/>
      <c r="N431" s="67">
        <f>VLOOKUP(D431,A!A$1:O$767,13,FALSE)</f>
        <v>0</v>
      </c>
      <c r="O431" s="93" t="s">
        <v>1425</v>
      </c>
      <c r="P431" s="10">
        <f>VLOOKUP(D431,A!A$1:O$767,9,FALSE)</f>
        <v>0</v>
      </c>
      <c r="Q431" s="10" t="s">
        <v>716</v>
      </c>
      <c r="R431" s="10">
        <f t="shared" si="43"/>
        <v>0</v>
      </c>
      <c r="S431" s="10" t="str">
        <f>VLOOKUP(D431,A!A$1:AK$767,32,FALSE)</f>
        <v/>
      </c>
      <c r="T431" s="10">
        <v>0.125</v>
      </c>
      <c r="U431" s="10">
        <f t="shared" si="44"/>
        <v>0</v>
      </c>
      <c r="X431" s="10"/>
    </row>
    <row r="432" spans="1:24" ht="11.25" customHeight="1" x14ac:dyDescent="0.25">
      <c r="A432" s="1" t="str">
        <f>IF(R432=0,"",COUNTIF(A$23:A431,"&gt;0")+1)</f>
        <v/>
      </c>
      <c r="B432" s="87"/>
      <c r="C432" s="63" t="s">
        <v>587</v>
      </c>
      <c r="D432" s="64" t="s">
        <v>234</v>
      </c>
      <c r="E432" s="65"/>
      <c r="F432" s="65"/>
      <c r="G432" s="97" t="s">
        <v>235</v>
      </c>
      <c r="H432" s="66" t="s">
        <v>236</v>
      </c>
      <c r="I432" s="67">
        <f>VLOOKUP(D432,A!A$1:O$767,15,FALSE)</f>
        <v>1</v>
      </c>
      <c r="J432" s="67"/>
      <c r="K432" s="68">
        <f>IF(VLOOKUP(D432,A!A$1:O$767,11,FALSE)="y",1,0)</f>
        <v>1</v>
      </c>
      <c r="L432" s="68">
        <f>IF(VLOOKUP(D432,A!A$1:O$767,12,FALSE)="y",1,0)</f>
        <v>0</v>
      </c>
      <c r="M432" s="711"/>
      <c r="N432" s="67">
        <f>VLOOKUP(D432,A!A$1:O$767,13,FALSE)</f>
        <v>0</v>
      </c>
      <c r="O432" s="93" t="s">
        <v>65</v>
      </c>
      <c r="P432" s="10" t="str">
        <f>VLOOKUP(D432,A!A$1:O$767,9,FALSE)</f>
        <v>y</v>
      </c>
      <c r="Q432" s="10" t="s">
        <v>716</v>
      </c>
      <c r="R432" s="10">
        <f t="shared" si="43"/>
        <v>0</v>
      </c>
      <c r="S432" s="10">
        <v>55</v>
      </c>
      <c r="T432" s="10">
        <v>0.125</v>
      </c>
      <c r="U432" s="10">
        <f t="shared" si="44"/>
        <v>0</v>
      </c>
      <c r="X432" s="10"/>
    </row>
    <row r="433" spans="1:24" ht="11.25" hidden="1" customHeight="1" x14ac:dyDescent="0.25">
      <c r="A433" s="1" t="str">
        <f>IF(R433=0,"",COUNTIF(A$23:A432,"&gt;0")+1)</f>
        <v/>
      </c>
      <c r="B433" s="87"/>
      <c r="C433" s="63" t="s">
        <v>587</v>
      </c>
      <c r="D433" s="64" t="s">
        <v>237</v>
      </c>
      <c r="E433" s="65"/>
      <c r="F433" s="65"/>
      <c r="G433" s="97" t="s">
        <v>747</v>
      </c>
      <c r="H433" s="66" t="s">
        <v>748</v>
      </c>
      <c r="I433" s="67">
        <f>VLOOKUP(D433,A!A$1:O$767,15,FALSE)</f>
        <v>1</v>
      </c>
      <c r="J433" s="67"/>
      <c r="K433" s="68">
        <f>IF(VLOOKUP(D433,A!A$1:O$767,11,FALSE)="y",1,0)</f>
        <v>0</v>
      </c>
      <c r="L433" s="68">
        <f>IF(VLOOKUP(D433,A!A$1:O$767,12,FALSE)="y",1,0)</f>
        <v>0</v>
      </c>
      <c r="M433" s="711"/>
      <c r="N433" s="67">
        <f>VLOOKUP(D433,A!A$1:O$767,13,FALSE)</f>
        <v>0</v>
      </c>
      <c r="O433" s="93" t="s">
        <v>73</v>
      </c>
      <c r="P433" s="10">
        <f>VLOOKUP(D433,A!A$1:O$767,9,FALSE)</f>
        <v>0</v>
      </c>
      <c r="Q433" s="10" t="s">
        <v>716</v>
      </c>
      <c r="R433" s="10">
        <f t="shared" si="43"/>
        <v>0</v>
      </c>
      <c r="S433" s="10">
        <f>VLOOKUP(D433,A!A$1:AK$767,32,FALSE)</f>
        <v>55</v>
      </c>
      <c r="T433" s="10">
        <v>0.125</v>
      </c>
      <c r="U433" s="10">
        <f t="shared" si="44"/>
        <v>0</v>
      </c>
      <c r="X433" s="10"/>
    </row>
    <row r="434" spans="1:24" ht="11.25" hidden="1" customHeight="1" x14ac:dyDescent="0.25">
      <c r="A434" s="1" t="str">
        <f>IF(R434=0,"",COUNTIF(A$23:A433,"&gt;0")+1)</f>
        <v/>
      </c>
      <c r="B434" s="87"/>
      <c r="C434" s="63" t="s">
        <v>587</v>
      </c>
      <c r="D434" s="64" t="s">
        <v>258</v>
      </c>
      <c r="E434" s="65"/>
      <c r="F434" s="65"/>
      <c r="G434" s="97" t="s">
        <v>259</v>
      </c>
      <c r="H434" s="66" t="s">
        <v>260</v>
      </c>
      <c r="I434" s="67">
        <f>VLOOKUP(D434,A!A$1:O$767,15,FALSE)</f>
        <v>0</v>
      </c>
      <c r="J434" s="67"/>
      <c r="K434" s="68">
        <f>IF(VLOOKUP(D434,A!A$1:O$767,11,FALSE)="y",1,0)</f>
        <v>0</v>
      </c>
      <c r="L434" s="68">
        <f>IF(VLOOKUP(D434,A!A$1:O$767,12,FALSE)="y",1,0)</f>
        <v>0</v>
      </c>
      <c r="M434" s="711"/>
      <c r="N434" s="67">
        <f>VLOOKUP(D434,A!A$1:O$767,13,FALSE)</f>
        <v>0</v>
      </c>
      <c r="O434" s="93" t="s">
        <v>73</v>
      </c>
      <c r="P434" s="10">
        <f>VLOOKUP(D434,A!A$1:O$767,9,FALSE)</f>
        <v>0</v>
      </c>
      <c r="Q434" s="10" t="s">
        <v>716</v>
      </c>
      <c r="R434" s="10">
        <f t="shared" si="43"/>
        <v>0</v>
      </c>
      <c r="S434" s="10" t="str">
        <f>VLOOKUP(D434,A!A$1:AK$767,32,FALSE)</f>
        <v/>
      </c>
      <c r="T434" s="10">
        <v>0.125</v>
      </c>
      <c r="U434" s="10">
        <f t="shared" si="44"/>
        <v>0</v>
      </c>
      <c r="X434" s="10"/>
    </row>
    <row r="435" spans="1:24" ht="9.75" hidden="1" customHeight="1" x14ac:dyDescent="0.25">
      <c r="A435" s="1" t="str">
        <f>IF(R435=0,"",COUNTIF(A$23:A434,"&gt;0")+1)</f>
        <v/>
      </c>
      <c r="B435" s="87"/>
      <c r="C435" s="63" t="s">
        <v>587</v>
      </c>
      <c r="D435" s="64" t="s">
        <v>261</v>
      </c>
      <c r="E435" s="65"/>
      <c r="F435" s="65"/>
      <c r="G435" s="97" t="s">
        <v>1318</v>
      </c>
      <c r="H435" s="66" t="s">
        <v>749</v>
      </c>
      <c r="I435" s="67">
        <f>VLOOKUP(D435,A!A$1:O$767,15,FALSE)</f>
        <v>1</v>
      </c>
      <c r="J435" s="67"/>
      <c r="K435" s="68">
        <f>IF(VLOOKUP(D435,A!A$1:O$767,11,FALSE)="y",1,0)</f>
        <v>0</v>
      </c>
      <c r="L435" s="68">
        <f>IF(VLOOKUP(D435,A!A$1:O$767,12,FALSE)="y",1,0)</f>
        <v>0</v>
      </c>
      <c r="M435" s="711"/>
      <c r="N435" s="67">
        <f>VLOOKUP(D435,A!A$1:O$767,13,FALSE)</f>
        <v>0</v>
      </c>
      <c r="O435" s="93">
        <v>2</v>
      </c>
      <c r="P435" s="10">
        <f>VLOOKUP(D435,A!A$1:O$767,9,FALSE)</f>
        <v>0</v>
      </c>
      <c r="Q435" s="10" t="s">
        <v>716</v>
      </c>
      <c r="R435" s="10">
        <f t="shared" si="43"/>
        <v>0</v>
      </c>
      <c r="S435" s="10">
        <f>VLOOKUP(D435,A!A$1:AK$767,32,FALSE)</f>
        <v>55</v>
      </c>
      <c r="T435" s="10">
        <v>0.125</v>
      </c>
      <c r="U435" s="10">
        <f t="shared" si="44"/>
        <v>0</v>
      </c>
      <c r="X435" s="10"/>
    </row>
    <row r="436" spans="1:24" ht="11.25" hidden="1" customHeight="1" x14ac:dyDescent="0.25">
      <c r="A436" s="1" t="str">
        <f>IF(R436=0,"",COUNTIF(A$23:A435,"&gt;0")+1)</f>
        <v/>
      </c>
      <c r="B436" s="87"/>
      <c r="C436" s="63" t="s">
        <v>587</v>
      </c>
      <c r="D436" s="64" t="s">
        <v>750</v>
      </c>
      <c r="E436" s="65"/>
      <c r="F436" s="65"/>
      <c r="G436" s="97" t="s">
        <v>259</v>
      </c>
      <c r="H436" s="66" t="s">
        <v>751</v>
      </c>
      <c r="I436" s="67">
        <f>VLOOKUP(D436,A!A$1:O$767,15,FALSE)</f>
        <v>0</v>
      </c>
      <c r="J436" s="67"/>
      <c r="K436" s="68">
        <f>IF(VLOOKUP(D436,A!A$1:O$767,11,FALSE)="y",1,0)</f>
        <v>0</v>
      </c>
      <c r="L436" s="68">
        <f>IF(VLOOKUP(D436,A!A$1:O$767,12,FALSE)="y",1,0)</f>
        <v>0</v>
      </c>
      <c r="M436" s="711"/>
      <c r="N436" s="67">
        <f>VLOOKUP(D436,A!A$1:O$767,13,FALSE)</f>
        <v>0</v>
      </c>
      <c r="O436" s="93">
        <v>2</v>
      </c>
      <c r="P436" s="10">
        <f>VLOOKUP(D436,A!A$1:O$767,9,FALSE)</f>
        <v>0</v>
      </c>
      <c r="Q436" s="10" t="s">
        <v>716</v>
      </c>
      <c r="R436" s="10">
        <f t="shared" si="43"/>
        <v>0</v>
      </c>
      <c r="S436" s="10" t="str">
        <f>VLOOKUP(D436,A!A$1:AK$767,32,FALSE)</f>
        <v/>
      </c>
      <c r="T436" s="10">
        <v>0.125</v>
      </c>
      <c r="U436" s="10">
        <f t="shared" si="44"/>
        <v>0</v>
      </c>
      <c r="X436" s="10"/>
    </row>
    <row r="437" spans="1:24" ht="11.25" hidden="1" customHeight="1" x14ac:dyDescent="0.25">
      <c r="A437" s="1" t="str">
        <f>IF(R437=0,"",COUNTIF(A$23:A436,"&gt;0")+1)</f>
        <v/>
      </c>
      <c r="B437" s="87"/>
      <c r="C437" s="63" t="s">
        <v>587</v>
      </c>
      <c r="D437" s="64" t="s">
        <v>263</v>
      </c>
      <c r="E437" s="65"/>
      <c r="F437" s="65"/>
      <c r="G437" s="97" t="s">
        <v>259</v>
      </c>
      <c r="H437" s="66" t="s">
        <v>264</v>
      </c>
      <c r="I437" s="67">
        <f>VLOOKUP(D437,A!A$1:O$767,15,FALSE)</f>
        <v>0</v>
      </c>
      <c r="J437" s="67"/>
      <c r="K437" s="68">
        <f>IF(VLOOKUP(D437,A!A$1:O$767,11,FALSE)="y",1,0)</f>
        <v>0</v>
      </c>
      <c r="L437" s="68">
        <f>IF(VLOOKUP(D437,A!A$1:O$767,12,FALSE)="y",1,0)</f>
        <v>0</v>
      </c>
      <c r="M437" s="711"/>
      <c r="N437" s="67">
        <f>VLOOKUP(D437,A!A$1:O$767,13,FALSE)</f>
        <v>0</v>
      </c>
      <c r="O437" s="93">
        <v>2</v>
      </c>
      <c r="P437" s="10">
        <f>VLOOKUP(D437,A!A$1:O$767,9,FALSE)</f>
        <v>0</v>
      </c>
      <c r="Q437" s="10" t="s">
        <v>716</v>
      </c>
      <c r="R437" s="10">
        <f t="shared" si="43"/>
        <v>0</v>
      </c>
      <c r="S437" s="10" t="str">
        <f>VLOOKUP(D437,A!A$1:AK$767,32,FALSE)</f>
        <v/>
      </c>
      <c r="T437" s="10">
        <v>0.125</v>
      </c>
      <c r="U437" s="10">
        <f t="shared" si="44"/>
        <v>0</v>
      </c>
      <c r="X437" s="10"/>
    </row>
    <row r="438" spans="1:24" ht="11.25" hidden="1" customHeight="1" x14ac:dyDescent="0.25">
      <c r="A438" s="1" t="str">
        <f>IF(R438=0,"",COUNTIF(A$23:A437,"&gt;0")+1)</f>
        <v/>
      </c>
      <c r="B438" s="87"/>
      <c r="C438" s="63" t="s">
        <v>587</v>
      </c>
      <c r="D438" s="64" t="s">
        <v>265</v>
      </c>
      <c r="E438" s="65"/>
      <c r="F438" s="65"/>
      <c r="G438" s="97" t="s">
        <v>259</v>
      </c>
      <c r="H438" s="66" t="s">
        <v>266</v>
      </c>
      <c r="I438" s="67">
        <f>VLOOKUP(D438,A!A$1:O$767,15,FALSE)</f>
        <v>0</v>
      </c>
      <c r="J438" s="67"/>
      <c r="K438" s="68">
        <f>IF(VLOOKUP(D438,A!A$1:O$767,11,FALSE)="y",1,0)</f>
        <v>0</v>
      </c>
      <c r="L438" s="68">
        <f>IF(VLOOKUP(D438,A!A$1:O$767,12,FALSE)="y",1,0)</f>
        <v>0</v>
      </c>
      <c r="M438" s="711"/>
      <c r="N438" s="67">
        <f>VLOOKUP(D438,A!A$1:O$767,13,FALSE)</f>
        <v>0</v>
      </c>
      <c r="O438" s="93">
        <v>2</v>
      </c>
      <c r="P438" s="10">
        <f>VLOOKUP(D438,A!A$1:O$767,9,FALSE)</f>
        <v>0</v>
      </c>
      <c r="Q438" s="10" t="s">
        <v>716</v>
      </c>
      <c r="R438" s="10">
        <f t="shared" si="43"/>
        <v>0</v>
      </c>
      <c r="S438" s="10" t="str">
        <f>VLOOKUP(D438,A!A$1:AK$767,32,FALSE)</f>
        <v/>
      </c>
      <c r="T438" s="10">
        <v>0.125</v>
      </c>
      <c r="U438" s="10">
        <f t="shared" si="44"/>
        <v>0</v>
      </c>
      <c r="X438" s="10"/>
    </row>
    <row r="439" spans="1:24" ht="11.25" hidden="1" customHeight="1" x14ac:dyDescent="0.25">
      <c r="A439" s="1" t="str">
        <f>IF(R439=0,"",COUNTIF(A$23:A438,"&gt;0")+1)</f>
        <v/>
      </c>
      <c r="B439" s="607"/>
      <c r="C439" s="577" t="s">
        <v>587</v>
      </c>
      <c r="D439" s="602" t="s">
        <v>1357</v>
      </c>
      <c r="E439" s="217"/>
      <c r="F439" s="217"/>
      <c r="G439" s="721" t="s">
        <v>1358</v>
      </c>
      <c r="H439" s="674" t="s">
        <v>1391</v>
      </c>
      <c r="I439" s="219">
        <v>2</v>
      </c>
      <c r="J439" s="219"/>
      <c r="K439" s="68">
        <f>IF(VLOOKUP(D439,A!A$1:O$767,11,FALSE)="y",1,0)</f>
        <v>0</v>
      </c>
      <c r="L439" s="351"/>
      <c r="M439" s="605"/>
      <c r="N439" s="219"/>
      <c r="O439" s="608">
        <v>2</v>
      </c>
      <c r="P439" s="10">
        <f>VLOOKUP(D439,A!A$1:O$767,9,FALSE)</f>
        <v>0</v>
      </c>
      <c r="Q439" s="10" t="s">
        <v>716</v>
      </c>
      <c r="R439" s="10">
        <f>B439</f>
        <v>0</v>
      </c>
      <c r="S439" s="10">
        <v>55</v>
      </c>
      <c r="T439" s="10">
        <v>0.125</v>
      </c>
      <c r="U439" s="10">
        <f>T439*B439</f>
        <v>0</v>
      </c>
      <c r="X439" s="10"/>
    </row>
    <row r="440" spans="1:24" ht="12" hidden="1" customHeight="1" x14ac:dyDescent="0.25">
      <c r="A440" s="1" t="str">
        <f>IF(R440=0,"",COUNTIF(A$23:A439,"&gt;0")+1)</f>
        <v/>
      </c>
      <c r="B440" s="607"/>
      <c r="C440" s="577" t="s">
        <v>587</v>
      </c>
      <c r="D440" s="602" t="s">
        <v>267</v>
      </c>
      <c r="E440" s="217"/>
      <c r="F440" s="217"/>
      <c r="G440" s="721" t="s">
        <v>268</v>
      </c>
      <c r="H440" s="579" t="s">
        <v>269</v>
      </c>
      <c r="I440" s="219">
        <f>VLOOKUP(D440,A!A$1:O$767,15,FALSE)</f>
        <v>2</v>
      </c>
      <c r="J440" s="219" t="s">
        <v>63</v>
      </c>
      <c r="K440" s="351">
        <f>IF(VLOOKUP(D440,A!A$1:O$767,11,FALSE)="y",1,0)</f>
        <v>0</v>
      </c>
      <c r="L440" s="351">
        <f>IF(VLOOKUP(D440,A!A$1:O$767,12,FALSE)="y",1,0)</f>
        <v>0</v>
      </c>
      <c r="M440" s="605"/>
      <c r="N440" s="219">
        <f>VLOOKUP(D440,A!A$1:O$767,13,FALSE)</f>
        <v>0</v>
      </c>
      <c r="O440" s="608" t="s">
        <v>73</v>
      </c>
      <c r="P440" s="10">
        <f>VLOOKUP(D440,A!A$1:O$767,9,FALSE)</f>
        <v>0</v>
      </c>
      <c r="Q440" s="10" t="s">
        <v>716</v>
      </c>
      <c r="R440" s="10">
        <f t="shared" si="43"/>
        <v>0</v>
      </c>
      <c r="S440" s="10">
        <f>VLOOKUP(D440,A!A$1:AK$767,32,FALSE)</f>
        <v>35</v>
      </c>
      <c r="T440" s="10">
        <v>0.125</v>
      </c>
      <c r="U440" s="10">
        <f t="shared" si="44"/>
        <v>0</v>
      </c>
      <c r="X440" s="10"/>
    </row>
    <row r="441" spans="1:24" ht="11.25" customHeight="1" x14ac:dyDescent="0.25">
      <c r="A441" s="1" t="str">
        <f>IF(R441=0,"",COUNTIF(A$23:A440,"&gt;0")+1)</f>
        <v/>
      </c>
      <c r="B441" s="666"/>
      <c r="C441" s="667" t="s">
        <v>587</v>
      </c>
      <c r="D441" s="668" t="s">
        <v>270</v>
      </c>
      <c r="E441" s="669"/>
      <c r="F441" s="669"/>
      <c r="G441" s="722" t="s">
        <v>271</v>
      </c>
      <c r="H441" s="670" t="s">
        <v>272</v>
      </c>
      <c r="I441" s="671">
        <f>VLOOKUP(D441,A!A$1:O$767,15,FALSE)</f>
        <v>2</v>
      </c>
      <c r="J441" s="671"/>
      <c r="K441" s="672">
        <f>IF(VLOOKUP(D441,A!A$1:O$767,11,FALSE)="y",1,0)</f>
        <v>1</v>
      </c>
      <c r="L441" s="672">
        <f>IF(VLOOKUP(D441,A!A$1:O$767,12,FALSE)="y",1,0)</f>
        <v>1</v>
      </c>
      <c r="M441" s="728" t="s">
        <v>726</v>
      </c>
      <c r="N441" s="671"/>
      <c r="O441" s="673" t="s">
        <v>73</v>
      </c>
      <c r="P441" s="10" t="str">
        <f>VLOOKUP(D441,A!A$1:O$767,9,FALSE)</f>
        <v>y</v>
      </c>
      <c r="Q441" s="10" t="s">
        <v>716</v>
      </c>
      <c r="R441" s="10">
        <f t="shared" si="43"/>
        <v>0</v>
      </c>
      <c r="S441" s="10">
        <f>VLOOKUP(D441,A!A$1:AK$767,32,FALSE)</f>
        <v>35</v>
      </c>
      <c r="T441" s="10">
        <v>0.125</v>
      </c>
      <c r="U441" s="10">
        <f t="shared" si="44"/>
        <v>0</v>
      </c>
      <c r="X441" s="10"/>
    </row>
    <row r="442" spans="1:24" ht="11.25" hidden="1" customHeight="1" x14ac:dyDescent="0.25">
      <c r="A442" s="1" t="str">
        <f>IF(R442=0,"",COUNTIF(A$23:A441,"&gt;0")+1)</f>
        <v/>
      </c>
      <c r="B442" s="87"/>
      <c r="C442" s="63" t="s">
        <v>587</v>
      </c>
      <c r="D442" s="64" t="s">
        <v>276</v>
      </c>
      <c r="E442" s="65"/>
      <c r="F442" s="65"/>
      <c r="G442" s="97" t="s">
        <v>277</v>
      </c>
      <c r="H442" s="66" t="s">
        <v>278</v>
      </c>
      <c r="I442" s="67">
        <f>VLOOKUP(D442,A!A$1:O$767,15,FALSE)</f>
        <v>0</v>
      </c>
      <c r="J442" s="67" t="s">
        <v>63</v>
      </c>
      <c r="K442" s="68">
        <f>IF(VLOOKUP(D442,A!A$1:O$767,11,FALSE)="y",1,0)</f>
        <v>0</v>
      </c>
      <c r="L442" s="68">
        <f>IF(VLOOKUP(D442,A!A$1:O$767,12,FALSE)="y",1,0)</f>
        <v>0</v>
      </c>
      <c r="M442" s="711"/>
      <c r="N442" s="67"/>
      <c r="O442" s="93" t="s">
        <v>73</v>
      </c>
      <c r="P442" s="10">
        <f>VLOOKUP(D442,A!A$1:O$767,9,FALSE)</f>
        <v>0</v>
      </c>
      <c r="Q442" s="10" t="s">
        <v>716</v>
      </c>
      <c r="R442" s="10">
        <f t="shared" si="43"/>
        <v>0</v>
      </c>
      <c r="S442" s="10" t="str">
        <f>VLOOKUP(D442,A!A$1:AK$767,32,FALSE)</f>
        <v/>
      </c>
      <c r="T442" s="10">
        <v>0.125</v>
      </c>
      <c r="U442" s="10">
        <f t="shared" si="44"/>
        <v>0</v>
      </c>
      <c r="X442" s="10"/>
    </row>
    <row r="443" spans="1:24" ht="11.25" hidden="1" customHeight="1" x14ac:dyDescent="0.25">
      <c r="A443" s="1" t="str">
        <f>IF(R443=0,"",COUNTIF(A$23:A442,"&gt;0")+1)</f>
        <v/>
      </c>
      <c r="B443" s="87"/>
      <c r="C443" s="63" t="s">
        <v>587</v>
      </c>
      <c r="D443" s="64" t="s">
        <v>287</v>
      </c>
      <c r="E443" s="65"/>
      <c r="F443" s="65"/>
      <c r="G443" s="97" t="s">
        <v>283</v>
      </c>
      <c r="H443" s="66" t="s">
        <v>288</v>
      </c>
      <c r="I443" s="67">
        <f>VLOOKUP(D443,A!A$1:O$767,15,FALSE)</f>
        <v>1</v>
      </c>
      <c r="J443" s="67"/>
      <c r="K443" s="68">
        <f>IF(VLOOKUP(D443,A!A$1:O$767,11,FALSE)="y",1,0)</f>
        <v>0</v>
      </c>
      <c r="L443" s="68">
        <f>IF(VLOOKUP(D443,A!A$1:O$767,12,FALSE)="y",1,0)</f>
        <v>0</v>
      </c>
      <c r="M443" s="711"/>
      <c r="N443" s="67"/>
      <c r="O443" s="93" t="s">
        <v>73</v>
      </c>
      <c r="P443" s="10">
        <f>VLOOKUP(D443,A!A$1:O$767,9,FALSE)</f>
        <v>0</v>
      </c>
      <c r="Q443" s="10" t="s">
        <v>716</v>
      </c>
      <c r="R443" s="10">
        <f t="shared" si="43"/>
        <v>0</v>
      </c>
      <c r="S443" s="10">
        <f>VLOOKUP(D443,A!A$1:AK$767,32,FALSE)</f>
        <v>35</v>
      </c>
      <c r="T443" s="10">
        <v>0.125</v>
      </c>
      <c r="U443" s="10">
        <f t="shared" si="44"/>
        <v>0</v>
      </c>
      <c r="X443" s="10"/>
    </row>
    <row r="444" spans="1:24" ht="11.25" hidden="1" customHeight="1" x14ac:dyDescent="0.25">
      <c r="A444" s="1" t="str">
        <f>IF(R444=0,"",COUNTIF(A$23:A443,"&gt;0")+1)</f>
        <v/>
      </c>
      <c r="B444" s="87"/>
      <c r="C444" s="63" t="s">
        <v>587</v>
      </c>
      <c r="D444" s="64" t="s">
        <v>752</v>
      </c>
      <c r="E444" s="65"/>
      <c r="F444" s="65"/>
      <c r="G444" s="97" t="s">
        <v>753</v>
      </c>
      <c r="H444" s="66" t="s">
        <v>695</v>
      </c>
      <c r="I444" s="67">
        <f>VLOOKUP(D444,A!A$1:O$767,15,FALSE)</f>
        <v>0</v>
      </c>
      <c r="J444" s="67"/>
      <c r="K444" s="68">
        <f>IF(VLOOKUP(D444,A!A$1:O$767,11,FALSE)="y",1,0)</f>
        <v>0</v>
      </c>
      <c r="L444" s="68">
        <f>IF(VLOOKUP(D444,A!A$1:O$767,12,FALSE)="y",1,0)</f>
        <v>0</v>
      </c>
      <c r="M444" s="711"/>
      <c r="N444" s="67"/>
      <c r="O444" s="93" t="s">
        <v>73</v>
      </c>
      <c r="P444" s="10">
        <f>VLOOKUP(D444,A!A$1:O$767,9,FALSE)</f>
        <v>0</v>
      </c>
      <c r="Q444" s="10" t="s">
        <v>716</v>
      </c>
      <c r="R444" s="10">
        <f t="shared" si="43"/>
        <v>0</v>
      </c>
      <c r="S444" s="10" t="str">
        <f>VLOOKUP(D444,A!A$1:AK$767,32,FALSE)</f>
        <v/>
      </c>
      <c r="T444" s="10">
        <v>0.125</v>
      </c>
      <c r="U444" s="10">
        <f t="shared" si="44"/>
        <v>0</v>
      </c>
      <c r="X444" s="10"/>
    </row>
    <row r="445" spans="1:24" ht="11.25" hidden="1" customHeight="1" x14ac:dyDescent="0.25">
      <c r="A445" s="1" t="str">
        <f>IF(R445=0,"",COUNTIF(A$23:A444,"&gt;0")+1)</f>
        <v/>
      </c>
      <c r="B445" s="87"/>
      <c r="C445" s="63" t="s">
        <v>587</v>
      </c>
      <c r="D445" s="64" t="s">
        <v>292</v>
      </c>
      <c r="E445" s="65"/>
      <c r="F445" s="65"/>
      <c r="G445" s="97" t="s">
        <v>290</v>
      </c>
      <c r="H445" s="66" t="s">
        <v>291</v>
      </c>
      <c r="I445" s="67">
        <f>VLOOKUP(D445,A!A$1:O$767,15,FALSE)</f>
        <v>0</v>
      </c>
      <c r="J445" s="67"/>
      <c r="K445" s="68">
        <f>IF(VLOOKUP(D445,A!A$1:O$767,11,FALSE)="y",1,0)</f>
        <v>0</v>
      </c>
      <c r="L445" s="68">
        <f>IF(VLOOKUP(D445,A!A$1:O$767,12,FALSE)="y",1,0)</f>
        <v>0</v>
      </c>
      <c r="M445" s="711"/>
      <c r="N445" s="67"/>
      <c r="O445" s="93" t="s">
        <v>73</v>
      </c>
      <c r="P445" s="10">
        <f>VLOOKUP(D445,A!A$1:O$767,9,FALSE)</f>
        <v>0</v>
      </c>
      <c r="Q445" s="10" t="s">
        <v>716</v>
      </c>
      <c r="R445" s="10">
        <f t="shared" si="43"/>
        <v>0</v>
      </c>
      <c r="S445" s="10" t="str">
        <f>VLOOKUP(D445,A!A$1:AK$767,32,FALSE)</f>
        <v/>
      </c>
      <c r="T445" s="10">
        <v>0.125</v>
      </c>
      <c r="U445" s="10">
        <f t="shared" si="44"/>
        <v>0</v>
      </c>
      <c r="X445" s="10"/>
    </row>
    <row r="446" spans="1:24" ht="11.25" hidden="1" customHeight="1" x14ac:dyDescent="0.25">
      <c r="A446" s="1" t="str">
        <f>IF(R446=0,"",COUNTIF(A$23:A445,"&gt;0")+1)</f>
        <v/>
      </c>
      <c r="B446" s="87"/>
      <c r="C446" s="63" t="s">
        <v>587</v>
      </c>
      <c r="D446" s="64" t="s">
        <v>293</v>
      </c>
      <c r="E446" s="65"/>
      <c r="F446" s="65"/>
      <c r="G446" s="97" t="s">
        <v>294</v>
      </c>
      <c r="H446" s="66" t="s">
        <v>295</v>
      </c>
      <c r="I446" s="67">
        <f>VLOOKUP(D446,A!A$1:O$767,15,FALSE)</f>
        <v>1</v>
      </c>
      <c r="J446" s="67"/>
      <c r="K446" s="68">
        <f>IF(VLOOKUP(D446,A!A$1:O$767,11,FALSE)="y",1,0)</f>
        <v>0</v>
      </c>
      <c r="L446" s="68">
        <f>IF(VLOOKUP(D446,A!A$1:O$767,12,FALSE)="y",1,0)</f>
        <v>0</v>
      </c>
      <c r="M446" s="711"/>
      <c r="N446" s="67"/>
      <c r="O446" s="93" t="s">
        <v>73</v>
      </c>
      <c r="P446" s="10">
        <f>VLOOKUP(D446,A!A$1:O$767,9,FALSE)</f>
        <v>0</v>
      </c>
      <c r="Q446" s="10" t="s">
        <v>716</v>
      </c>
      <c r="R446" s="10">
        <f t="shared" si="43"/>
        <v>0</v>
      </c>
      <c r="S446" s="10">
        <f>VLOOKUP(D446,A!A$1:AK$767,32,FALSE)</f>
        <v>55</v>
      </c>
      <c r="T446" s="10">
        <v>0.125</v>
      </c>
      <c r="U446" s="10">
        <f t="shared" si="44"/>
        <v>0</v>
      </c>
      <c r="X446" s="10"/>
    </row>
    <row r="447" spans="1:24" ht="11.25" hidden="1" customHeight="1" x14ac:dyDescent="0.25">
      <c r="A447" s="1" t="str">
        <f>IF(R447=0,"",COUNTIF(A$23:A446,"&gt;0")+1)</f>
        <v/>
      </c>
      <c r="B447" s="87"/>
      <c r="C447" s="63" t="s">
        <v>587</v>
      </c>
      <c r="D447" s="64" t="s">
        <v>296</v>
      </c>
      <c r="E447" s="65"/>
      <c r="F447" s="65"/>
      <c r="G447" s="97" t="s">
        <v>297</v>
      </c>
      <c r="H447" s="66" t="s">
        <v>298</v>
      </c>
      <c r="I447" s="67">
        <f>VLOOKUP(D447,A!A$1:O$767,15,FALSE)</f>
        <v>0</v>
      </c>
      <c r="J447" s="67"/>
      <c r="K447" s="68">
        <f>IF(VLOOKUP(D447,A!A$1:O$767,11,FALSE)="y",1,0)</f>
        <v>0</v>
      </c>
      <c r="L447" s="68">
        <f>IF(VLOOKUP(D447,A!A$1:O$767,12,FALSE)="y",1,0)</f>
        <v>0</v>
      </c>
      <c r="M447" s="711"/>
      <c r="N447" s="67"/>
      <c r="O447" s="93" t="s">
        <v>73</v>
      </c>
      <c r="P447" s="10">
        <f>VLOOKUP(D447,A!A$1:O$767,9,FALSE)</f>
        <v>0</v>
      </c>
      <c r="Q447" s="10" t="s">
        <v>716</v>
      </c>
      <c r="R447" s="10">
        <f t="shared" si="43"/>
        <v>0</v>
      </c>
      <c r="S447" s="10" t="str">
        <f>VLOOKUP(D447,A!A$1:AK$767,32,FALSE)</f>
        <v/>
      </c>
      <c r="T447" s="10">
        <v>0.125</v>
      </c>
      <c r="U447" s="10">
        <f t="shared" si="44"/>
        <v>0</v>
      </c>
      <c r="X447" s="10"/>
    </row>
    <row r="448" spans="1:24" ht="11.25" hidden="1" customHeight="1" x14ac:dyDescent="0.25">
      <c r="A448" s="1" t="str">
        <f>IF(R448=0,"",COUNTIF(A$23:A447,"&gt;0")+1)</f>
        <v/>
      </c>
      <c r="B448" s="87"/>
      <c r="C448" s="63" t="s">
        <v>587</v>
      </c>
      <c r="D448" s="64" t="s">
        <v>299</v>
      </c>
      <c r="E448" s="65"/>
      <c r="F448" s="65"/>
      <c r="G448" s="97" t="s">
        <v>754</v>
      </c>
      <c r="H448" s="66" t="s">
        <v>301</v>
      </c>
      <c r="I448" s="67">
        <f>VLOOKUP(D448,A!A$1:O$767,15,FALSE)</f>
        <v>1</v>
      </c>
      <c r="J448" s="67"/>
      <c r="K448" s="68">
        <f>IF(VLOOKUP(D448,A!A$1:O$767,11,FALSE)="y",1,0)</f>
        <v>0</v>
      </c>
      <c r="L448" s="68">
        <f>IF(VLOOKUP(D448,A!A$1:O$767,12,FALSE)="y",1,0)</f>
        <v>0</v>
      </c>
      <c r="M448" s="711"/>
      <c r="N448" s="67"/>
      <c r="O448" s="93" t="s">
        <v>73</v>
      </c>
      <c r="P448" s="10">
        <f>VLOOKUP(D448,A!A$1:O$767,9,FALSE)</f>
        <v>0</v>
      </c>
      <c r="Q448" s="10" t="s">
        <v>716</v>
      </c>
      <c r="R448" s="10">
        <f t="shared" si="43"/>
        <v>0</v>
      </c>
      <c r="S448" s="10">
        <f>VLOOKUP(D448,A!A$1:AK$767,32,FALSE)</f>
        <v>35</v>
      </c>
      <c r="T448" s="10">
        <v>0.125</v>
      </c>
      <c r="U448" s="10">
        <f t="shared" si="44"/>
        <v>0</v>
      </c>
      <c r="X448" s="10"/>
    </row>
    <row r="449" spans="1:24" ht="11.25" hidden="1" customHeight="1" x14ac:dyDescent="0.25">
      <c r="A449" s="1" t="str">
        <f>IF(R449=0,"",COUNTIF(A$23:A448,"&gt;0")+1)</f>
        <v/>
      </c>
      <c r="B449" s="87"/>
      <c r="C449" s="63" t="s">
        <v>587</v>
      </c>
      <c r="D449" s="64" t="s">
        <v>302</v>
      </c>
      <c r="E449" s="65"/>
      <c r="F449" s="65"/>
      <c r="G449" s="97" t="s">
        <v>303</v>
      </c>
      <c r="H449" s="66" t="s">
        <v>304</v>
      </c>
      <c r="I449" s="67">
        <f>VLOOKUP(D449,A!A$1:O$767,15,FALSE)</f>
        <v>2</v>
      </c>
      <c r="J449" s="67"/>
      <c r="K449" s="68">
        <f>IF(VLOOKUP(D449,A!A$1:O$767,11,FALSE)="y",1,0)</f>
        <v>0</v>
      </c>
      <c r="L449" s="68">
        <f>IF(VLOOKUP(D449,A!A$1:O$767,12,FALSE)="y",1,0)</f>
        <v>0</v>
      </c>
      <c r="M449" s="711"/>
      <c r="N449" s="67"/>
      <c r="O449" s="93">
        <v>1</v>
      </c>
      <c r="P449" s="10">
        <f>VLOOKUP(D449,A!A$1:O$767,9,FALSE)</f>
        <v>0</v>
      </c>
      <c r="Q449" s="10" t="s">
        <v>716</v>
      </c>
      <c r="R449" s="10">
        <f t="shared" si="43"/>
        <v>0</v>
      </c>
      <c r="S449" s="10">
        <f>VLOOKUP(D449,A!A$1:AK$767,32,FALSE)</f>
        <v>25</v>
      </c>
      <c r="T449" s="10">
        <v>0.125</v>
      </c>
      <c r="U449" s="10">
        <f t="shared" si="44"/>
        <v>0</v>
      </c>
      <c r="X449" s="10"/>
    </row>
    <row r="450" spans="1:24" ht="11.25" hidden="1" customHeight="1" x14ac:dyDescent="0.25">
      <c r="A450" s="1" t="str">
        <f>IF(R450=0,"",COUNTIF(A$23:A449,"&gt;0")+1)</f>
        <v/>
      </c>
      <c r="B450" s="87"/>
      <c r="C450" s="63" t="s">
        <v>587</v>
      </c>
      <c r="D450" s="64" t="s">
        <v>307</v>
      </c>
      <c r="E450" s="65"/>
      <c r="F450" s="65"/>
      <c r="G450" s="97" t="s">
        <v>308</v>
      </c>
      <c r="H450" s="66" t="s">
        <v>309</v>
      </c>
      <c r="I450" s="67">
        <f>VLOOKUP(D450,A!A$1:O$767,15,FALSE)</f>
        <v>0</v>
      </c>
      <c r="J450" s="67"/>
      <c r="K450" s="68">
        <f>IF(VLOOKUP(D450,A!A$1:O$767,11,FALSE)="y",1,0)</f>
        <v>0</v>
      </c>
      <c r="L450" s="68">
        <f>IF(VLOOKUP(D450,A!A$1:O$767,12,FALSE)="y",1,0)</f>
        <v>0</v>
      </c>
      <c r="M450" s="711"/>
      <c r="N450" s="67"/>
      <c r="O450" s="93" t="s">
        <v>73</v>
      </c>
      <c r="P450" s="10">
        <f>VLOOKUP(D450,A!A$1:O$767,9,FALSE)</f>
        <v>0</v>
      </c>
      <c r="Q450" s="10" t="s">
        <v>716</v>
      </c>
      <c r="R450" s="10">
        <f t="shared" ref="R450:R486" si="45">B450</f>
        <v>0</v>
      </c>
      <c r="S450" s="10" t="str">
        <f>VLOOKUP(D450,A!A$1:AK$767,32,FALSE)</f>
        <v/>
      </c>
      <c r="T450" s="10">
        <v>0.125</v>
      </c>
      <c r="U450" s="10">
        <f t="shared" ref="U450:U486" si="46">T450*B450</f>
        <v>0</v>
      </c>
      <c r="X450" s="10"/>
    </row>
    <row r="451" spans="1:24" ht="11.25" hidden="1" customHeight="1" x14ac:dyDescent="0.25">
      <c r="A451" s="1" t="str">
        <f>IF(R451=0,"",COUNTIF(A$23:A450,"&gt;0")+1)</f>
        <v/>
      </c>
      <c r="B451" s="87"/>
      <c r="C451" s="63" t="s">
        <v>587</v>
      </c>
      <c r="D451" s="64" t="s">
        <v>310</v>
      </c>
      <c r="E451" s="65"/>
      <c r="F451" s="65"/>
      <c r="G451" s="97" t="s">
        <v>311</v>
      </c>
      <c r="H451" s="66" t="s">
        <v>312</v>
      </c>
      <c r="I451" s="67">
        <v>1</v>
      </c>
      <c r="J451" s="67" t="s">
        <v>63</v>
      </c>
      <c r="K451" s="68">
        <f>IF(VLOOKUP(D451,A!A$1:O$767,11,FALSE)="y",1,0)</f>
        <v>0</v>
      </c>
      <c r="L451" s="68">
        <f>IF(VLOOKUP(D451,A!A$1:O$767,12,FALSE)="y",1,0)</f>
        <v>0</v>
      </c>
      <c r="M451" s="711"/>
      <c r="N451" s="67"/>
      <c r="O451" s="93" t="s">
        <v>73</v>
      </c>
      <c r="P451" s="10">
        <f>VLOOKUP(D451,A!A$1:O$767,9,FALSE)</f>
        <v>0</v>
      </c>
      <c r="Q451" s="10" t="s">
        <v>716</v>
      </c>
      <c r="R451" s="10">
        <f t="shared" si="45"/>
        <v>0</v>
      </c>
      <c r="S451" s="10">
        <f>VLOOKUP(D451,A!A$1:AK$767,32,FALSE)</f>
        <v>25</v>
      </c>
      <c r="T451" s="10">
        <v>0.125</v>
      </c>
      <c r="U451" s="10">
        <f t="shared" si="46"/>
        <v>0</v>
      </c>
      <c r="X451" s="10"/>
    </row>
    <row r="452" spans="1:24" ht="11.25" hidden="1" customHeight="1" x14ac:dyDescent="0.25">
      <c r="A452" s="1" t="str">
        <f>IF(R452=0,"",COUNTIF(A$23:A451,"&gt;0")+1)</f>
        <v/>
      </c>
      <c r="B452" s="87"/>
      <c r="C452" s="63" t="s">
        <v>587</v>
      </c>
      <c r="D452" s="64" t="s">
        <v>313</v>
      </c>
      <c r="E452" s="65"/>
      <c r="F452" s="65"/>
      <c r="G452" s="97" t="s">
        <v>314</v>
      </c>
      <c r="H452" s="66" t="s">
        <v>315</v>
      </c>
      <c r="I452" s="67">
        <f>VLOOKUP(D452,A!A$1:O$767,15,FALSE)</f>
        <v>1</v>
      </c>
      <c r="J452" s="67"/>
      <c r="K452" s="68">
        <f>IF(VLOOKUP(D452,A!A$1:O$767,11,FALSE)="y",1,0)</f>
        <v>0</v>
      </c>
      <c r="L452" s="68">
        <f>IF(VLOOKUP(D452,A!A$1:O$767,12,FALSE)="y",1,0)</f>
        <v>0</v>
      </c>
      <c r="M452" s="711"/>
      <c r="N452" s="67"/>
      <c r="O452" s="93" t="s">
        <v>73</v>
      </c>
      <c r="P452" s="10">
        <f>VLOOKUP(D452,A!A$1:O$767,9,FALSE)</f>
        <v>0</v>
      </c>
      <c r="Q452" s="10" t="s">
        <v>716</v>
      </c>
      <c r="R452" s="10">
        <f t="shared" si="45"/>
        <v>0</v>
      </c>
      <c r="S452" s="10">
        <f>VLOOKUP(D452,A!A$1:AK$767,32,FALSE)</f>
        <v>25</v>
      </c>
      <c r="T452" s="10">
        <v>0.125</v>
      </c>
      <c r="U452" s="10">
        <f t="shared" si="46"/>
        <v>0</v>
      </c>
      <c r="X452" s="10"/>
    </row>
    <row r="453" spans="1:24" ht="11.25" hidden="1" customHeight="1" x14ac:dyDescent="0.25">
      <c r="A453" s="1" t="str">
        <f>IF(R453=0,"",COUNTIF(A$23:A452,"&gt;0")+1)</f>
        <v/>
      </c>
      <c r="B453" s="87"/>
      <c r="C453" s="63" t="s">
        <v>587</v>
      </c>
      <c r="D453" s="609" t="s">
        <v>1301</v>
      </c>
      <c r="E453" s="65"/>
      <c r="F453" s="65"/>
      <c r="G453" s="97" t="s">
        <v>1322</v>
      </c>
      <c r="H453" s="66" t="s">
        <v>1303</v>
      </c>
      <c r="I453" s="67">
        <v>1</v>
      </c>
      <c r="J453" s="67"/>
      <c r="K453" s="68"/>
      <c r="L453" s="68"/>
      <c r="M453" s="711"/>
      <c r="N453" s="67"/>
      <c r="O453" s="93"/>
      <c r="P453" s="10">
        <f>VLOOKUP(D453,A!A$1:O$767,9,FALSE)</f>
        <v>0</v>
      </c>
      <c r="Q453" s="10" t="s">
        <v>716</v>
      </c>
      <c r="R453" s="10">
        <f t="shared" si="45"/>
        <v>0</v>
      </c>
      <c r="S453" s="10">
        <f>VLOOKUP(D453,A!A$1:AK$767,32,FALSE)</f>
        <v>25</v>
      </c>
      <c r="T453" s="10">
        <v>0.125</v>
      </c>
      <c r="U453" s="10">
        <f t="shared" si="46"/>
        <v>0</v>
      </c>
      <c r="X453" s="10"/>
    </row>
    <row r="454" spans="1:24" ht="11.25" hidden="1" customHeight="1" x14ac:dyDescent="0.25">
      <c r="A454" s="1" t="str">
        <f>IF(R454=0,"",COUNTIF(A$23:A453,"&gt;0")+1)</f>
        <v/>
      </c>
      <c r="B454" s="87"/>
      <c r="C454" s="63" t="s">
        <v>587</v>
      </c>
      <c r="D454" s="64" t="s">
        <v>316</v>
      </c>
      <c r="E454" s="65"/>
      <c r="F454" s="65"/>
      <c r="G454" s="97" t="s">
        <v>300</v>
      </c>
      <c r="H454" s="66" t="s">
        <v>317</v>
      </c>
      <c r="I454" s="67">
        <f>VLOOKUP(D454,A!A$1:O$767,15,FALSE)</f>
        <v>2</v>
      </c>
      <c r="J454" s="67" t="s">
        <v>63</v>
      </c>
      <c r="K454" s="68">
        <f>IF(VLOOKUP(D454,A!A$1:O$767,11,FALSE)="y",1,0)</f>
        <v>0</v>
      </c>
      <c r="L454" s="68">
        <f>IF(VLOOKUP(D454,A!A$1:O$767,12,FALSE)="y",1,0)</f>
        <v>0</v>
      </c>
      <c r="M454" s="711"/>
      <c r="N454" s="67">
        <f>VLOOKUP(D454,A!A$1:O$767,13,FALSE)</f>
        <v>0</v>
      </c>
      <c r="O454" s="93" t="s">
        <v>73</v>
      </c>
      <c r="P454" s="10">
        <f>VLOOKUP(D454,A!A$1:O$767,9,FALSE)</f>
        <v>0</v>
      </c>
      <c r="Q454" s="10" t="s">
        <v>716</v>
      </c>
      <c r="R454" s="10">
        <f t="shared" si="45"/>
        <v>0</v>
      </c>
      <c r="S454" s="10">
        <f>VLOOKUP(D454,A!A$1:AK$767,32,FALSE)</f>
        <v>35</v>
      </c>
      <c r="T454" s="10">
        <v>0.125</v>
      </c>
      <c r="U454" s="10">
        <f t="shared" si="46"/>
        <v>0</v>
      </c>
      <c r="X454" s="10"/>
    </row>
    <row r="455" spans="1:24" ht="11.25" customHeight="1" x14ac:dyDescent="0.25">
      <c r="A455" s="1" t="str">
        <f>IF(R455=0,"",COUNTIF(A$23:A454,"&gt;0")+1)</f>
        <v/>
      </c>
      <c r="B455" s="87"/>
      <c r="C455" s="63" t="s">
        <v>587</v>
      </c>
      <c r="D455" s="64" t="s">
        <v>324</v>
      </c>
      <c r="E455" s="65"/>
      <c r="F455" s="65"/>
      <c r="G455" s="97" t="s">
        <v>325</v>
      </c>
      <c r="H455" s="66" t="s">
        <v>326</v>
      </c>
      <c r="I455" s="67">
        <f>VLOOKUP(D455,A!A$1:O$767,15,FALSE)</f>
        <v>2</v>
      </c>
      <c r="J455" s="67" t="s">
        <v>63</v>
      </c>
      <c r="K455" s="68">
        <f>IF(VLOOKUP(D455,A!A$1:O$767,11,FALSE)="y",1,0)</f>
        <v>1</v>
      </c>
      <c r="L455" s="68">
        <f>IF(VLOOKUP(D455,A!A$1:O$767,12,FALSE)="y",1,0)</f>
        <v>0</v>
      </c>
      <c r="M455" s="711" t="s">
        <v>64</v>
      </c>
      <c r="N455" s="67">
        <f>VLOOKUP(D455,A!A$1:O$767,13,FALSE)</f>
        <v>0</v>
      </c>
      <c r="O455" s="93" t="s">
        <v>73</v>
      </c>
      <c r="P455" s="10" t="str">
        <f>VLOOKUP(D455,A!A$1:O$767,9,FALSE)</f>
        <v>y</v>
      </c>
      <c r="Q455" s="10" t="s">
        <v>716</v>
      </c>
      <c r="R455" s="10">
        <f t="shared" si="45"/>
        <v>0</v>
      </c>
      <c r="S455" s="10">
        <f>VLOOKUP(D455,A!A$1:AK$767,32,FALSE)</f>
        <v>35</v>
      </c>
      <c r="T455" s="10">
        <v>0.125</v>
      </c>
      <c r="U455" s="10">
        <f t="shared" si="46"/>
        <v>0</v>
      </c>
      <c r="X455" s="10"/>
    </row>
    <row r="456" spans="1:24" ht="11.25" hidden="1" customHeight="1" x14ac:dyDescent="0.25">
      <c r="A456" s="1" t="str">
        <f>IF(R456=0,"",COUNTIF(A$23:A455,"&gt;0")+1)</f>
        <v/>
      </c>
      <c r="B456" s="87"/>
      <c r="C456" s="63" t="s">
        <v>587</v>
      </c>
      <c r="D456" s="64" t="s">
        <v>327</v>
      </c>
      <c r="E456" s="65"/>
      <c r="F456" s="65"/>
      <c r="G456" s="97" t="s">
        <v>755</v>
      </c>
      <c r="H456" s="66" t="s">
        <v>329</v>
      </c>
      <c r="I456" s="67">
        <f>VLOOKUP(D456,A!A$1:O$767,15,FALSE)</f>
        <v>1</v>
      </c>
      <c r="J456" s="67" t="s">
        <v>63</v>
      </c>
      <c r="K456" s="68">
        <f>IF(VLOOKUP(D456,A!A$1:O$767,11,FALSE)="y",1,0)</f>
        <v>0</v>
      </c>
      <c r="L456" s="68">
        <f>IF(VLOOKUP(D456,A!A$1:O$767,12,FALSE)="y",1,0)</f>
        <v>0</v>
      </c>
      <c r="M456" s="711"/>
      <c r="N456" s="67">
        <f>VLOOKUP(D456,A!A$1:O$767,13,FALSE)</f>
        <v>0</v>
      </c>
      <c r="O456" s="93" t="s">
        <v>73</v>
      </c>
      <c r="P456" s="10">
        <f>VLOOKUP(D456,A!A$1:O$767,9,FALSE)</f>
        <v>0</v>
      </c>
      <c r="Q456" s="10" t="s">
        <v>716</v>
      </c>
      <c r="R456" s="10">
        <f t="shared" si="45"/>
        <v>0</v>
      </c>
      <c r="S456" s="10">
        <v>35</v>
      </c>
      <c r="T456" s="10">
        <v>0.125</v>
      </c>
      <c r="U456" s="10">
        <f t="shared" si="46"/>
        <v>0</v>
      </c>
      <c r="X456" s="10"/>
    </row>
    <row r="457" spans="1:24" ht="11.25" hidden="1" customHeight="1" x14ac:dyDescent="0.25">
      <c r="A457" s="1" t="str">
        <f>IF(R457=0,"",COUNTIF(A$23:A456,"&gt;0")+1)</f>
        <v/>
      </c>
      <c r="B457" s="87"/>
      <c r="C457" s="63" t="s">
        <v>587</v>
      </c>
      <c r="D457" s="64" t="s">
        <v>330</v>
      </c>
      <c r="E457" s="65"/>
      <c r="F457" s="65"/>
      <c r="G457" s="97" t="s">
        <v>331</v>
      </c>
      <c r="H457" s="66" t="s">
        <v>332</v>
      </c>
      <c r="I457" s="67">
        <f>VLOOKUP(D457,A!A$1:O$767,15,FALSE)</f>
        <v>2</v>
      </c>
      <c r="J457" s="67" t="s">
        <v>63</v>
      </c>
      <c r="K457" s="68">
        <f>IF(VLOOKUP(D457,A!A$1:O$767,11,FALSE)="y",1,0)</f>
        <v>0</v>
      </c>
      <c r="L457" s="68">
        <f>IF(VLOOKUP(D457,A!A$1:O$767,12,FALSE)="y",1,0)</f>
        <v>0</v>
      </c>
      <c r="M457" s="711"/>
      <c r="N457" s="67">
        <f>VLOOKUP(D457,A!A$1:O$767,13,FALSE)</f>
        <v>0</v>
      </c>
      <c r="O457" s="93" t="s">
        <v>65</v>
      </c>
      <c r="P457" s="10">
        <f>VLOOKUP(D457,A!A$1:O$767,9,FALSE)</f>
        <v>0</v>
      </c>
      <c r="Q457" s="10" t="s">
        <v>716</v>
      </c>
      <c r="R457" s="10">
        <f t="shared" si="45"/>
        <v>0</v>
      </c>
      <c r="S457" s="10">
        <f>VLOOKUP(D457,A!A$1:AK$767,32,FALSE)</f>
        <v>25</v>
      </c>
      <c r="T457" s="10">
        <v>0.125</v>
      </c>
      <c r="U457" s="10">
        <f t="shared" si="46"/>
        <v>0</v>
      </c>
      <c r="X457" s="10"/>
    </row>
    <row r="458" spans="1:24" ht="11.25" hidden="1" customHeight="1" x14ac:dyDescent="0.25">
      <c r="A458" s="1" t="str">
        <f>IF(R458=0,"",COUNTIF(A$23:A457,"&gt;0")+1)</f>
        <v/>
      </c>
      <c r="B458" s="87"/>
      <c r="C458" s="63" t="s">
        <v>587</v>
      </c>
      <c r="D458" s="64" t="s">
        <v>336</v>
      </c>
      <c r="E458" s="65"/>
      <c r="F458" s="65"/>
      <c r="G458" s="97" t="s">
        <v>337</v>
      </c>
      <c r="H458" s="66" t="s">
        <v>338</v>
      </c>
      <c r="I458" s="67">
        <f>VLOOKUP(D458,A!A$1:O$767,15,FALSE)</f>
        <v>0</v>
      </c>
      <c r="J458" s="67"/>
      <c r="K458" s="68">
        <f>IF(VLOOKUP(D458,A!A$1:O$767,11,FALSE)="y",1,0)</f>
        <v>0</v>
      </c>
      <c r="L458" s="68">
        <f>IF(VLOOKUP(D458,A!A$1:O$767,12,FALSE)="y",1,0)</f>
        <v>0</v>
      </c>
      <c r="M458" s="711"/>
      <c r="N458" s="67">
        <f>VLOOKUP(D458,A!A$1:O$767,13,FALSE)</f>
        <v>0</v>
      </c>
      <c r="O458" s="93" t="s">
        <v>73</v>
      </c>
      <c r="P458" s="10">
        <f>VLOOKUP(D458,A!A$1:O$767,9,FALSE)</f>
        <v>0</v>
      </c>
      <c r="Q458" s="10" t="s">
        <v>716</v>
      </c>
      <c r="R458" s="10">
        <f t="shared" si="45"/>
        <v>0</v>
      </c>
      <c r="S458" s="10" t="str">
        <f>VLOOKUP(D458,A!A$1:AK$767,32,FALSE)</f>
        <v/>
      </c>
      <c r="T458" s="10">
        <v>0.125</v>
      </c>
      <c r="U458" s="10">
        <f t="shared" si="46"/>
        <v>0</v>
      </c>
      <c r="X458" s="10"/>
    </row>
    <row r="459" spans="1:24" ht="11.25" hidden="1" customHeight="1" x14ac:dyDescent="0.25">
      <c r="A459" s="1" t="str">
        <f>IF(R459=0,"",COUNTIF(A$23:A458,"&gt;0")+1)</f>
        <v/>
      </c>
      <c r="B459" s="87"/>
      <c r="C459" s="63" t="s">
        <v>587</v>
      </c>
      <c r="D459" s="64" t="s">
        <v>339</v>
      </c>
      <c r="E459" s="65"/>
      <c r="F459" s="65"/>
      <c r="G459" s="97" t="s">
        <v>334</v>
      </c>
      <c r="H459" s="66" t="s">
        <v>341</v>
      </c>
      <c r="I459" s="67">
        <f>VLOOKUP(D459,A!A$1:O$767,15,FALSE)</f>
        <v>1</v>
      </c>
      <c r="J459" s="67"/>
      <c r="K459" s="68">
        <f>IF(VLOOKUP(D459,A!A$1:O$767,11,FALSE)="y",1,0)</f>
        <v>0</v>
      </c>
      <c r="L459" s="68">
        <f>IF(VLOOKUP(D459,A!A$1:O$767,12,FALSE)="y",1,0)</f>
        <v>0</v>
      </c>
      <c r="M459" s="711"/>
      <c r="N459" s="67">
        <f>VLOOKUP(D459,A!A$1:O$767,13,FALSE)</f>
        <v>0</v>
      </c>
      <c r="O459" s="93" t="s">
        <v>73</v>
      </c>
      <c r="P459" s="10">
        <f>VLOOKUP(D459,A!A$1:O$767,9,FALSE)</f>
        <v>0</v>
      </c>
      <c r="Q459" s="10" t="s">
        <v>716</v>
      </c>
      <c r="R459" s="10">
        <f t="shared" si="45"/>
        <v>0</v>
      </c>
      <c r="S459" s="10">
        <f>VLOOKUP(D459,A!A$1:AK$767,32,FALSE)</f>
        <v>35</v>
      </c>
      <c r="T459" s="10">
        <v>0.125</v>
      </c>
      <c r="U459" s="10">
        <f t="shared" si="46"/>
        <v>0</v>
      </c>
      <c r="X459" s="10"/>
    </row>
    <row r="460" spans="1:24" ht="11.25" hidden="1" customHeight="1" x14ac:dyDescent="0.25">
      <c r="A460" s="1" t="str">
        <f>IF(R460=0,"",COUNTIF(A$23:A459,"&gt;0")+1)</f>
        <v/>
      </c>
      <c r="B460" s="87"/>
      <c r="C460" s="63" t="s">
        <v>587</v>
      </c>
      <c r="D460" s="64" t="s">
        <v>342</v>
      </c>
      <c r="E460" s="65"/>
      <c r="F460" s="65"/>
      <c r="G460" s="97" t="s">
        <v>334</v>
      </c>
      <c r="H460" s="66" t="s">
        <v>344</v>
      </c>
      <c r="I460" s="67">
        <f>VLOOKUP(D460,A!A$1:O$767,15,FALSE)</f>
        <v>0</v>
      </c>
      <c r="J460" s="67"/>
      <c r="K460" s="68">
        <f>IF(VLOOKUP(D460,A!A$1:O$767,11,FALSE)="y",1,0)</f>
        <v>0</v>
      </c>
      <c r="L460" s="68">
        <f>IF(VLOOKUP(D460,A!A$1:O$767,12,FALSE)="y",1,0)</f>
        <v>0</v>
      </c>
      <c r="M460" s="711"/>
      <c r="N460" s="67">
        <f>VLOOKUP(D460,A!A$1:O$767,13,FALSE)</f>
        <v>0</v>
      </c>
      <c r="O460" s="93" t="s">
        <v>73</v>
      </c>
      <c r="P460" s="10">
        <f>VLOOKUP(D460,A!A$1:O$767,9,FALSE)</f>
        <v>0</v>
      </c>
      <c r="Q460" s="10" t="s">
        <v>716</v>
      </c>
      <c r="R460" s="10">
        <f t="shared" si="45"/>
        <v>0</v>
      </c>
      <c r="S460" s="10" t="str">
        <f>VLOOKUP(D460,A!A$1:AK$767,32,FALSE)</f>
        <v/>
      </c>
      <c r="T460" s="10">
        <v>0.125</v>
      </c>
      <c r="U460" s="10">
        <f t="shared" si="46"/>
        <v>0</v>
      </c>
      <c r="X460" s="10"/>
    </row>
    <row r="461" spans="1:24" ht="11.25" hidden="1" customHeight="1" x14ac:dyDescent="0.25">
      <c r="A461" s="1" t="str">
        <f>IF(R461=0,"",COUNTIF(A$23:A460,"&gt;0")+1)</f>
        <v/>
      </c>
      <c r="B461" s="87"/>
      <c r="C461" s="63" t="s">
        <v>587</v>
      </c>
      <c r="D461" s="64" t="s">
        <v>345</v>
      </c>
      <c r="E461" s="65"/>
      <c r="F461" s="65"/>
      <c r="G461" s="97" t="s">
        <v>346</v>
      </c>
      <c r="H461" s="66" t="s">
        <v>347</v>
      </c>
      <c r="I461" s="67">
        <f>VLOOKUP(D461,A!A$1:O$767,15,FALSE)</f>
        <v>1</v>
      </c>
      <c r="J461" s="67" t="s">
        <v>63</v>
      </c>
      <c r="K461" s="68">
        <f>IF(VLOOKUP(D461,A!A$1:O$767,11,FALSE)="y",1,0)</f>
        <v>0</v>
      </c>
      <c r="L461" s="68">
        <f>IF(VLOOKUP(D461,A!A$1:O$767,12,FALSE)="y",1,0)</f>
        <v>0</v>
      </c>
      <c r="M461" s="711"/>
      <c r="N461" s="67">
        <f>VLOOKUP(D461,A!A$1:O$767,13,FALSE)</f>
        <v>0</v>
      </c>
      <c r="O461" s="93">
        <v>2</v>
      </c>
      <c r="P461" s="10">
        <f>VLOOKUP(D461,A!A$1:O$767,9,FALSE)</f>
        <v>0</v>
      </c>
      <c r="Q461" s="10" t="s">
        <v>716</v>
      </c>
      <c r="R461" s="10">
        <f t="shared" si="45"/>
        <v>0</v>
      </c>
      <c r="S461" s="10">
        <v>35</v>
      </c>
      <c r="T461" s="10">
        <v>0.125</v>
      </c>
      <c r="U461" s="10">
        <f t="shared" si="46"/>
        <v>0</v>
      </c>
      <c r="X461" s="10"/>
    </row>
    <row r="462" spans="1:24" ht="11.25" hidden="1" customHeight="1" x14ac:dyDescent="0.25">
      <c r="A462" s="1" t="str">
        <f>IF(R462=0,"",COUNTIF(A$23:A461,"&gt;0")+1)</f>
        <v/>
      </c>
      <c r="B462" s="87"/>
      <c r="C462" s="63" t="s">
        <v>587</v>
      </c>
      <c r="D462" s="64" t="s">
        <v>756</v>
      </c>
      <c r="E462" s="65"/>
      <c r="F462" s="65"/>
      <c r="G462" s="97" t="s">
        <v>349</v>
      </c>
      <c r="H462" s="66" t="s">
        <v>350</v>
      </c>
      <c r="I462" s="67">
        <f>VLOOKUP(D462,A!A$1:O$767,15,FALSE)</f>
        <v>0</v>
      </c>
      <c r="J462" s="67"/>
      <c r="K462" s="68">
        <f>IF(VLOOKUP(D462,A!A$1:O$767,11,FALSE)="y",1,0)</f>
        <v>0</v>
      </c>
      <c r="L462" s="68">
        <f>IF(VLOOKUP(D462,A!A$1:O$767,12,FALSE)="y",1,0)</f>
        <v>0</v>
      </c>
      <c r="M462" s="711"/>
      <c r="N462" s="67">
        <f>VLOOKUP(D462,A!A$1:O$767,13,FALSE)</f>
        <v>0</v>
      </c>
      <c r="O462" s="93" t="s">
        <v>73</v>
      </c>
      <c r="P462" s="10">
        <f>VLOOKUP(D462,A!A$1:O$767,9,FALSE)</f>
        <v>0</v>
      </c>
      <c r="Q462" s="10" t="s">
        <v>716</v>
      </c>
      <c r="R462" s="10">
        <f t="shared" si="45"/>
        <v>0</v>
      </c>
      <c r="S462" s="10">
        <f>VLOOKUP(D462,A!A$1:AK$767,32,FALSE)</f>
        <v>0</v>
      </c>
      <c r="T462" s="10">
        <v>0.125</v>
      </c>
      <c r="U462" s="10">
        <f t="shared" si="46"/>
        <v>0</v>
      </c>
      <c r="X462" s="10"/>
    </row>
    <row r="463" spans="1:24" ht="11.25" hidden="1" customHeight="1" x14ac:dyDescent="0.25">
      <c r="A463" s="1" t="str">
        <f>IF(R463=0,"",COUNTIF(A$23:A462,"&gt;0")+1)</f>
        <v/>
      </c>
      <c r="B463" s="87"/>
      <c r="C463" s="63" t="s">
        <v>587</v>
      </c>
      <c r="D463" s="64" t="s">
        <v>354</v>
      </c>
      <c r="E463" s="65"/>
      <c r="F463" s="65"/>
      <c r="G463" s="97" t="s">
        <v>355</v>
      </c>
      <c r="H463" s="66" t="s">
        <v>356</v>
      </c>
      <c r="I463" s="67">
        <f>VLOOKUP(D463,A!A$1:O$767,15,FALSE)</f>
        <v>0</v>
      </c>
      <c r="J463" s="67" t="s">
        <v>63</v>
      </c>
      <c r="K463" s="68">
        <f>IF(VLOOKUP(D463,A!A$1:O$767,11,FALSE)="y",1,0)</f>
        <v>0</v>
      </c>
      <c r="L463" s="68">
        <f>IF(VLOOKUP(D463,A!A$1:O$767,12,FALSE)="y",1,0)</f>
        <v>0</v>
      </c>
      <c r="M463" s="711"/>
      <c r="N463" s="67">
        <f>VLOOKUP(D463,A!A$1:O$767,13,FALSE)</f>
        <v>0</v>
      </c>
      <c r="O463" s="93">
        <v>2</v>
      </c>
      <c r="P463" s="10">
        <f>VLOOKUP(D463,A!A$1:O$767,9,FALSE)</f>
        <v>0</v>
      </c>
      <c r="Q463" s="10" t="s">
        <v>716</v>
      </c>
      <c r="R463" s="10">
        <f t="shared" si="45"/>
        <v>0</v>
      </c>
      <c r="S463" s="10" t="str">
        <f>VLOOKUP(D463,A!A$1:AK$767,32,FALSE)</f>
        <v/>
      </c>
      <c r="T463" s="10">
        <v>0.125</v>
      </c>
      <c r="U463" s="10">
        <f t="shared" si="46"/>
        <v>0</v>
      </c>
      <c r="X463" s="10"/>
    </row>
    <row r="464" spans="1:24" ht="11.25" customHeight="1" x14ac:dyDescent="0.25">
      <c r="A464" s="1" t="str">
        <f>IF(R464=0,"",COUNTIF(A$23:A463,"&gt;0")+1)</f>
        <v/>
      </c>
      <c r="B464" s="87"/>
      <c r="C464" s="63" t="s">
        <v>587</v>
      </c>
      <c r="D464" s="64" t="s">
        <v>360</v>
      </c>
      <c r="E464" s="65"/>
      <c r="F464" s="65"/>
      <c r="G464" s="97" t="s">
        <v>361</v>
      </c>
      <c r="H464" s="66" t="s">
        <v>362</v>
      </c>
      <c r="I464" s="67">
        <f>VLOOKUP(D464,A!A$1:O$767,15,FALSE)</f>
        <v>1</v>
      </c>
      <c r="J464" s="67"/>
      <c r="K464" s="68">
        <f>IF(VLOOKUP(D464,A!A$1:O$767,11,FALSE)="y",1,0)</f>
        <v>1</v>
      </c>
      <c r="L464" s="68">
        <f>IF(VLOOKUP(D464,A!A$1:O$767,12,FALSE)="y",1,0)</f>
        <v>0</v>
      </c>
      <c r="M464" s="711"/>
      <c r="N464" s="67">
        <f>VLOOKUP(D464,A!A$1:O$767,13,FALSE)</f>
        <v>0</v>
      </c>
      <c r="O464" s="93" t="s">
        <v>73</v>
      </c>
      <c r="P464" s="10" t="str">
        <f>VLOOKUP(D464,A!A$1:O$767,9,FALSE)</f>
        <v>y</v>
      </c>
      <c r="Q464" s="10" t="s">
        <v>716</v>
      </c>
      <c r="R464" s="10">
        <f t="shared" si="45"/>
        <v>0</v>
      </c>
      <c r="S464" s="10">
        <f>VLOOKUP(D464,A!A$1:AK$767,32,FALSE)</f>
        <v>35</v>
      </c>
      <c r="T464" s="10">
        <v>0.125</v>
      </c>
      <c r="U464" s="10">
        <f t="shared" si="46"/>
        <v>0</v>
      </c>
      <c r="X464" s="10"/>
    </row>
    <row r="465" spans="1:24" ht="11.25" customHeight="1" x14ac:dyDescent="0.25">
      <c r="A465" s="1" t="str">
        <f>IF(R465=0,"",COUNTIF(A$23:A464,"&gt;0")+1)</f>
        <v/>
      </c>
      <c r="B465" s="87"/>
      <c r="C465" s="63" t="s">
        <v>587</v>
      </c>
      <c r="D465" s="64" t="s">
        <v>363</v>
      </c>
      <c r="E465" s="95"/>
      <c r="F465" s="208" t="s">
        <v>483</v>
      </c>
      <c r="G465" s="97" t="s">
        <v>364</v>
      </c>
      <c r="H465" s="66" t="s">
        <v>365</v>
      </c>
      <c r="I465" s="67">
        <f>VLOOKUP(D465,A!A$1:O$767,15,FALSE)</f>
        <v>2</v>
      </c>
      <c r="J465" s="67"/>
      <c r="K465" s="68">
        <f>IF(VLOOKUP(D465,A!A$1:O$767,11,FALSE)="y",1,0)</f>
        <v>1</v>
      </c>
      <c r="L465" s="68">
        <f>IF(VLOOKUP(D465,A!A$1:O$767,12,FALSE)="y",1,0)</f>
        <v>0</v>
      </c>
      <c r="M465" s="711"/>
      <c r="N465" s="67">
        <f>VLOOKUP(D465,A!A$1:O$767,13,FALSE)</f>
        <v>0</v>
      </c>
      <c r="O465" s="93" t="s">
        <v>73</v>
      </c>
      <c r="P465" s="10" t="str">
        <f>VLOOKUP(D465,A!A$1:O$767,9,FALSE)</f>
        <v>y</v>
      </c>
      <c r="Q465" s="10" t="s">
        <v>716</v>
      </c>
      <c r="R465" s="10">
        <f t="shared" si="45"/>
        <v>0</v>
      </c>
      <c r="S465" s="10">
        <f>VLOOKUP(D465,A!A$1:AK$767,32,FALSE)</f>
        <v>55</v>
      </c>
      <c r="T465" s="10">
        <v>0.125</v>
      </c>
      <c r="U465" s="10">
        <f t="shared" si="46"/>
        <v>0</v>
      </c>
      <c r="X465" s="10"/>
    </row>
    <row r="466" spans="1:24" ht="11.25" hidden="1" customHeight="1" x14ac:dyDescent="0.25">
      <c r="A466" s="1" t="str">
        <f>IF(R466=0,"",COUNTIF(A$23:A465,"&gt;0")+1)</f>
        <v/>
      </c>
      <c r="B466" s="87"/>
      <c r="C466" s="63" t="s">
        <v>587</v>
      </c>
      <c r="D466" s="64" t="s">
        <v>1354</v>
      </c>
      <c r="E466" s="95"/>
      <c r="F466" s="208"/>
      <c r="G466" s="97" t="s">
        <v>1355</v>
      </c>
      <c r="H466" s="66" t="s">
        <v>1356</v>
      </c>
      <c r="I466" s="67">
        <v>2</v>
      </c>
      <c r="J466" s="67"/>
      <c r="K466" s="68"/>
      <c r="L466" s="68"/>
      <c r="M466" s="711"/>
      <c r="N466" s="67"/>
      <c r="O466" s="93" t="s">
        <v>73</v>
      </c>
      <c r="P466" s="10">
        <f>VLOOKUP(D466,A!A$1:O$767,9,FALSE)</f>
        <v>0</v>
      </c>
      <c r="Q466" s="10" t="s">
        <v>716</v>
      </c>
      <c r="R466" s="10">
        <f>B466</f>
        <v>0</v>
      </c>
      <c r="S466" s="10">
        <f>VLOOKUP(D466,A!A$1:AK$767,32,FALSE)</f>
        <v>55</v>
      </c>
      <c r="T466" s="10">
        <v>0.125</v>
      </c>
      <c r="U466" s="10">
        <f>T466*B466</f>
        <v>0</v>
      </c>
      <c r="X466" s="10"/>
    </row>
    <row r="467" spans="1:24" ht="11.25" customHeight="1" x14ac:dyDescent="0.25">
      <c r="A467" s="1" t="str">
        <f>IF(R467=0,"",COUNTIF(A$23:A466,"&gt;0")+1)</f>
        <v/>
      </c>
      <c r="B467" s="87"/>
      <c r="C467" s="63" t="s">
        <v>587</v>
      </c>
      <c r="D467" s="64" t="s">
        <v>368</v>
      </c>
      <c r="E467" s="65"/>
      <c r="F467" s="65"/>
      <c r="G467" s="97" t="s">
        <v>1317</v>
      </c>
      <c r="H467" s="66" t="s">
        <v>757</v>
      </c>
      <c r="I467" s="67">
        <f>VLOOKUP(D467,A!A$1:O$767,15,FALSE)</f>
        <v>2</v>
      </c>
      <c r="J467" s="67"/>
      <c r="K467" s="68">
        <f>IF(VLOOKUP(D467,A!A$1:O$767,11,FALSE)="y",1,0)</f>
        <v>1</v>
      </c>
      <c r="L467" s="68">
        <f>IF(VLOOKUP(D467,A!A$1:O$767,12,FALSE)="y",1,0)</f>
        <v>0</v>
      </c>
      <c r="M467" s="711"/>
      <c r="N467" s="67">
        <f>VLOOKUP(D467,A!A$1:O$767,13,FALSE)</f>
        <v>0</v>
      </c>
      <c r="O467" s="93" t="s">
        <v>55</v>
      </c>
      <c r="P467" s="10" t="str">
        <f>VLOOKUP(D467,A!A$1:O$767,9,FALSE)</f>
        <v>y</v>
      </c>
      <c r="Q467" s="10" t="s">
        <v>716</v>
      </c>
      <c r="R467" s="10">
        <f t="shared" si="45"/>
        <v>0</v>
      </c>
      <c r="S467" s="10">
        <f>VLOOKUP(D467,A!A$1:AK$767,32,FALSE)</f>
        <v>55</v>
      </c>
      <c r="T467" s="10">
        <v>0.125</v>
      </c>
      <c r="U467" s="10">
        <f t="shared" si="46"/>
        <v>0</v>
      </c>
      <c r="X467" s="10"/>
    </row>
    <row r="468" spans="1:24" ht="10.5" customHeight="1" x14ac:dyDescent="0.25">
      <c r="A468" s="1" t="str">
        <f>IF(R468=0,"",COUNTIF(A$23:A467,"&gt;0")+1)</f>
        <v/>
      </c>
      <c r="B468" s="87"/>
      <c r="C468" s="63" t="s">
        <v>587</v>
      </c>
      <c r="D468" s="64" t="s">
        <v>373</v>
      </c>
      <c r="E468" s="65"/>
      <c r="F468" s="65"/>
      <c r="G468" s="97" t="s">
        <v>374</v>
      </c>
      <c r="H468" s="66" t="s">
        <v>375</v>
      </c>
      <c r="I468" s="67">
        <f>VLOOKUP(D468,A!A$1:O$767,15,FALSE)</f>
        <v>1</v>
      </c>
      <c r="J468" s="67"/>
      <c r="K468" s="68">
        <f>IF(VLOOKUP(D468,A!A$1:O$767,11,FALSE)="y",1,0)</f>
        <v>1</v>
      </c>
      <c r="L468" s="68">
        <f>IF(VLOOKUP(D468,A!A$1:O$767,12,FALSE)="y",1,0)</f>
        <v>1</v>
      </c>
      <c r="M468" s="711" t="s">
        <v>726</v>
      </c>
      <c r="N468" s="67" t="str">
        <f>VLOOKUP(D468,A!A$1:O$767,13,FALSE)</f>
        <v>y</v>
      </c>
      <c r="O468" s="93" t="s">
        <v>65</v>
      </c>
      <c r="P468" s="10" t="str">
        <f>VLOOKUP(D468,A!A$1:O$767,9,FALSE)</f>
        <v>y</v>
      </c>
      <c r="Q468" s="10" t="s">
        <v>716</v>
      </c>
      <c r="R468" s="10">
        <f t="shared" si="45"/>
        <v>0</v>
      </c>
      <c r="S468" s="10">
        <v>55</v>
      </c>
      <c r="T468" s="10">
        <v>0.125</v>
      </c>
      <c r="U468" s="10">
        <f t="shared" si="46"/>
        <v>0</v>
      </c>
      <c r="X468" s="10"/>
    </row>
    <row r="469" spans="1:24" ht="11.25" customHeight="1" x14ac:dyDescent="0.25">
      <c r="A469" s="1" t="str">
        <f>IF(R469=0,"",COUNTIF(A$23:A468,"&gt;0")+1)</f>
        <v/>
      </c>
      <c r="B469" s="87"/>
      <c r="C469" s="63" t="s">
        <v>587</v>
      </c>
      <c r="D469" s="64" t="s">
        <v>376</v>
      </c>
      <c r="E469" s="95"/>
      <c r="F469" s="208"/>
      <c r="G469" s="97" t="s">
        <v>374</v>
      </c>
      <c r="H469" s="66" t="s">
        <v>377</v>
      </c>
      <c r="I469" s="67">
        <f>VLOOKUP(D469,A!A$1:O$767,15,FALSE)</f>
        <v>1</v>
      </c>
      <c r="J469" s="67"/>
      <c r="K469" s="68">
        <f>IF(VLOOKUP(D469,A!A$1:O$767,11,FALSE)="y",1,0)</f>
        <v>1</v>
      </c>
      <c r="L469" s="68">
        <f>IF(VLOOKUP(D469,A!A$1:O$767,12,FALSE)="y",1,0)</f>
        <v>0</v>
      </c>
      <c r="M469" s="711"/>
      <c r="N469" s="67" t="str">
        <f>VLOOKUP(D469,A!A$1:O$767,13,FALSE)</f>
        <v>y</v>
      </c>
      <c r="O469" s="93" t="s">
        <v>65</v>
      </c>
      <c r="P469" s="10" t="str">
        <f>VLOOKUP(D469,A!A$1:O$767,9,FALSE)</f>
        <v>y</v>
      </c>
      <c r="Q469" s="10" t="s">
        <v>716</v>
      </c>
      <c r="R469" s="10">
        <f t="shared" si="45"/>
        <v>0</v>
      </c>
      <c r="S469" s="10">
        <f>VLOOKUP(D469,A!A$1:AK$767,32,FALSE)</f>
        <v>55</v>
      </c>
      <c r="T469" s="10">
        <v>0.125</v>
      </c>
      <c r="U469" s="10">
        <f t="shared" si="46"/>
        <v>0</v>
      </c>
      <c r="X469" s="10"/>
    </row>
    <row r="470" spans="1:24" ht="11.25" customHeight="1" x14ac:dyDescent="0.25">
      <c r="A470" s="1" t="str">
        <f>IF(R470=0,"",COUNTIF(A$23:A469,"&gt;0")+1)</f>
        <v/>
      </c>
      <c r="B470" s="87"/>
      <c r="C470" s="63" t="s">
        <v>587</v>
      </c>
      <c r="D470" s="64" t="s">
        <v>758</v>
      </c>
      <c r="E470" s="65"/>
      <c r="F470" s="65"/>
      <c r="G470" s="97" t="s">
        <v>374</v>
      </c>
      <c r="H470" s="66" t="s">
        <v>380</v>
      </c>
      <c r="I470" s="67">
        <f>VLOOKUP(D470,A!A$1:O$767,15,FALSE)</f>
        <v>1</v>
      </c>
      <c r="J470" s="67"/>
      <c r="K470" s="68">
        <f>IF(VLOOKUP(D470,A!A$1:O$767,11,FALSE)="y",1,0)</f>
        <v>1</v>
      </c>
      <c r="L470" s="68">
        <f>IF(VLOOKUP(D470,A!A$1:O$767,12,FALSE)="y",1,0)</f>
        <v>0</v>
      </c>
      <c r="M470" s="711"/>
      <c r="N470" s="67">
        <f>VLOOKUP(D470,A!A$1:O$767,13,FALSE)</f>
        <v>0</v>
      </c>
      <c r="O470" s="93" t="s">
        <v>65</v>
      </c>
      <c r="P470" s="10" t="str">
        <f>VLOOKUP(D470,A!A$1:O$767,9,FALSE)</f>
        <v>y</v>
      </c>
      <c r="Q470" s="10" t="s">
        <v>716</v>
      </c>
      <c r="R470" s="10">
        <f t="shared" si="45"/>
        <v>0</v>
      </c>
      <c r="S470" s="10">
        <f>VLOOKUP(D470,A!A$1:AK$767,32,FALSE)</f>
        <v>55</v>
      </c>
      <c r="T470" s="10">
        <v>0.125</v>
      </c>
      <c r="U470" s="10">
        <f t="shared" si="46"/>
        <v>0</v>
      </c>
      <c r="X470" s="10"/>
    </row>
    <row r="471" spans="1:24" ht="11.25" hidden="1" customHeight="1" x14ac:dyDescent="0.25">
      <c r="A471" s="1" t="str">
        <f>IF(R471=0,"",COUNTIF(A$23:A470,"&gt;0")+1)</f>
        <v/>
      </c>
      <c r="B471" s="87"/>
      <c r="C471" s="63" t="s">
        <v>587</v>
      </c>
      <c r="D471" s="88" t="s">
        <v>420</v>
      </c>
      <c r="E471" s="65"/>
      <c r="F471" s="65"/>
      <c r="G471" s="89" t="s">
        <v>421</v>
      </c>
      <c r="H471" s="90" t="s">
        <v>422</v>
      </c>
      <c r="I471" s="67">
        <v>1</v>
      </c>
      <c r="J471" s="67"/>
      <c r="K471" s="68">
        <f>IF(VLOOKUP(D471,A!A$1:O$767,11,FALSE)="y",1,0)</f>
        <v>0</v>
      </c>
      <c r="L471" s="68"/>
      <c r="M471" s="711" t="s">
        <v>726</v>
      </c>
      <c r="N471" s="67"/>
      <c r="O471" s="93" t="s">
        <v>73</v>
      </c>
      <c r="P471" s="10">
        <f>VLOOKUP(D471,A!A$1:O$767,9,FALSE)</f>
        <v>0</v>
      </c>
      <c r="Q471" s="10" t="s">
        <v>716</v>
      </c>
      <c r="R471" s="10">
        <f>B471</f>
        <v>0</v>
      </c>
      <c r="S471" s="10">
        <f>VLOOKUP(D471,A!A$1:AK$767,32,FALSE)</f>
        <v>55</v>
      </c>
      <c r="T471" s="10">
        <v>0.125</v>
      </c>
      <c r="U471" s="10">
        <f>T471*B471</f>
        <v>0</v>
      </c>
      <c r="X471" s="10"/>
    </row>
    <row r="472" spans="1:24" ht="11.25" hidden="1" customHeight="1" x14ac:dyDescent="0.25">
      <c r="A472" s="1" t="str">
        <f>IF(R472=0,"",COUNTIF(A$23:A471,"&gt;0")+1)</f>
        <v/>
      </c>
      <c r="B472" s="87"/>
      <c r="C472" s="63" t="s">
        <v>587</v>
      </c>
      <c r="D472" s="64" t="s">
        <v>426</v>
      </c>
      <c r="E472" s="65"/>
      <c r="F472" s="65"/>
      <c r="G472" s="97" t="s">
        <v>427</v>
      </c>
      <c r="H472" s="66" t="s">
        <v>428</v>
      </c>
      <c r="I472" s="67">
        <f>VLOOKUP(D472,A!A$1:O$767,15,FALSE)</f>
        <v>1</v>
      </c>
      <c r="J472" s="67" t="s">
        <v>63</v>
      </c>
      <c r="K472" s="68">
        <f>IF(VLOOKUP(D472,A!A$1:O$767,11,FALSE)="y",1,0)</f>
        <v>0</v>
      </c>
      <c r="L472" s="68">
        <f>IF(VLOOKUP(D472,A!A$1:O$767,12,FALSE)="y",1,0)</f>
        <v>0</v>
      </c>
      <c r="M472" s="711"/>
      <c r="N472" s="67">
        <f>VLOOKUP(D472,A!A$1:O$767,13,FALSE)</f>
        <v>0</v>
      </c>
      <c r="O472" s="93">
        <v>2</v>
      </c>
      <c r="P472" s="10">
        <f>VLOOKUP(D472,A!A$1:O$767,9,FALSE)</f>
        <v>0</v>
      </c>
      <c r="Q472" s="10" t="s">
        <v>716</v>
      </c>
      <c r="R472" s="10">
        <f t="shared" si="45"/>
        <v>0</v>
      </c>
      <c r="S472" s="10">
        <f>VLOOKUP(D472,A!A$1:AK$767,32,FALSE)</f>
        <v>35</v>
      </c>
      <c r="T472" s="10">
        <v>0.125</v>
      </c>
      <c r="U472" s="10">
        <f t="shared" si="46"/>
        <v>0</v>
      </c>
      <c r="X472" s="10"/>
    </row>
    <row r="473" spans="1:24" ht="11.25" hidden="1" customHeight="1" x14ac:dyDescent="0.25">
      <c r="A473" s="1" t="str">
        <f>IF(R473=0,"",COUNTIF(A$23:A472,"&gt;0")+1)</f>
        <v/>
      </c>
      <c r="B473" s="87"/>
      <c r="C473" s="63" t="s">
        <v>587</v>
      </c>
      <c r="D473" s="64" t="s">
        <v>429</v>
      </c>
      <c r="E473" s="65"/>
      <c r="F473" s="65"/>
      <c r="G473" s="97" t="s">
        <v>759</v>
      </c>
      <c r="H473" s="66" t="s">
        <v>760</v>
      </c>
      <c r="I473" s="67">
        <f>VLOOKUP(D473,A!A$1:O$767,15,FALSE)</f>
        <v>2</v>
      </c>
      <c r="J473" s="67" t="s">
        <v>63</v>
      </c>
      <c r="K473" s="68">
        <f>IF(VLOOKUP(D473,A!A$1:O$767,11,FALSE)="y",1,0)</f>
        <v>0</v>
      </c>
      <c r="L473" s="68">
        <f>IF(VLOOKUP(D473,A!A$1:O$767,12,FALSE)="y",1,0)</f>
        <v>0</v>
      </c>
      <c r="M473" s="711"/>
      <c r="N473" s="67">
        <f>VLOOKUP(D473,A!A$1:O$767,13,FALSE)</f>
        <v>0</v>
      </c>
      <c r="O473" s="93">
        <v>2</v>
      </c>
      <c r="P473" s="10">
        <f>VLOOKUP(D473,A!A$1:O$767,9,FALSE)</f>
        <v>0</v>
      </c>
      <c r="Q473" s="10" t="s">
        <v>716</v>
      </c>
      <c r="R473" s="10">
        <f t="shared" si="45"/>
        <v>0</v>
      </c>
      <c r="S473" s="10">
        <f>VLOOKUP(D473,A!A$1:AK$767,32,FALSE)</f>
        <v>35</v>
      </c>
      <c r="T473" s="10">
        <v>0.125</v>
      </c>
      <c r="U473" s="10">
        <f t="shared" si="46"/>
        <v>0</v>
      </c>
      <c r="X473" s="10"/>
    </row>
    <row r="474" spans="1:24" ht="11.25" hidden="1" customHeight="1" x14ac:dyDescent="0.25">
      <c r="A474" s="1" t="str">
        <f>IF(R474=0,"",COUNTIF(A$23:A473,"&gt;0")+1)</f>
        <v/>
      </c>
      <c r="B474" s="87"/>
      <c r="C474" s="63" t="s">
        <v>587</v>
      </c>
      <c r="D474" s="64" t="s">
        <v>435</v>
      </c>
      <c r="E474" s="65"/>
      <c r="F474" s="65"/>
      <c r="G474" s="97" t="s">
        <v>436</v>
      </c>
      <c r="H474" s="66" t="s">
        <v>437</v>
      </c>
      <c r="I474" s="67">
        <f>VLOOKUP(D474,A!A$1:O$767,15,FALSE)</f>
        <v>1</v>
      </c>
      <c r="J474" s="67"/>
      <c r="K474" s="68">
        <f>IF(VLOOKUP(D474,A!A$1:O$767,11,FALSE)="y",1,0)</f>
        <v>0</v>
      </c>
      <c r="L474" s="68">
        <f>IF(VLOOKUP(D474,A!A$1:O$767,12,FALSE)="y",1,0)</f>
        <v>0</v>
      </c>
      <c r="M474" s="711"/>
      <c r="N474" s="67">
        <f>VLOOKUP(D474,A!A$1:O$767,13,FALSE)</f>
        <v>0</v>
      </c>
      <c r="O474" s="93">
        <v>2</v>
      </c>
      <c r="P474" s="10">
        <f>VLOOKUP(D474,A!A$1:O$767,9,FALSE)</f>
        <v>0</v>
      </c>
      <c r="Q474" s="10" t="s">
        <v>716</v>
      </c>
      <c r="R474" s="10">
        <f t="shared" si="45"/>
        <v>0</v>
      </c>
      <c r="S474" s="10">
        <f>VLOOKUP(D474,A!A$1:AK$767,32,FALSE)</f>
        <v>35</v>
      </c>
      <c r="T474" s="10">
        <v>0.125</v>
      </c>
      <c r="U474" s="10">
        <f t="shared" si="46"/>
        <v>0</v>
      </c>
      <c r="X474" s="10"/>
    </row>
    <row r="475" spans="1:24" ht="11.25" hidden="1" customHeight="1" x14ac:dyDescent="0.25">
      <c r="A475" s="1" t="str">
        <f>IF(R475=0,"",COUNTIF(A$23:A474,"&gt;0")+1)</f>
        <v/>
      </c>
      <c r="B475" s="87"/>
      <c r="C475" s="63" t="s">
        <v>587</v>
      </c>
      <c r="D475" s="64" t="s">
        <v>438</v>
      </c>
      <c r="E475" s="65"/>
      <c r="F475" s="65"/>
      <c r="G475" s="97" t="s">
        <v>436</v>
      </c>
      <c r="H475" s="66" t="s">
        <v>439</v>
      </c>
      <c r="I475" s="67">
        <f>VLOOKUP(D475,A!A$1:O$767,15,FALSE)</f>
        <v>1</v>
      </c>
      <c r="J475" s="67" t="s">
        <v>63</v>
      </c>
      <c r="K475" s="68">
        <f>IF(VLOOKUP(D475,A!A$1:O$767,11,FALSE)="y",1,0)</f>
        <v>0</v>
      </c>
      <c r="L475" s="68">
        <f>IF(VLOOKUP(D475,A!A$1:O$767,12,FALSE)="y",1,0)</f>
        <v>0</v>
      </c>
      <c r="M475" s="711"/>
      <c r="N475" s="67">
        <f>VLOOKUP(D475,A!A$1:O$767,13,FALSE)</f>
        <v>0</v>
      </c>
      <c r="O475" s="93">
        <v>2</v>
      </c>
      <c r="P475" s="10">
        <f>VLOOKUP(D475,A!A$1:O$767,9,FALSE)</f>
        <v>0</v>
      </c>
      <c r="Q475" s="10" t="s">
        <v>716</v>
      </c>
      <c r="R475" s="10">
        <f t="shared" si="45"/>
        <v>0</v>
      </c>
      <c r="S475" s="10">
        <f>VLOOKUP(D475,A!A$1:AK$767,32,FALSE)</f>
        <v>35</v>
      </c>
      <c r="T475" s="10">
        <v>0.125</v>
      </c>
      <c r="U475" s="10">
        <f t="shared" si="46"/>
        <v>0</v>
      </c>
      <c r="X475" s="10"/>
    </row>
    <row r="476" spans="1:24" ht="11.25" hidden="1" customHeight="1" x14ac:dyDescent="0.25">
      <c r="A476" s="1" t="str">
        <f>IF(R476=0,"",COUNTIF(A$23:A475,"&gt;0")+1)</f>
        <v/>
      </c>
      <c r="B476" s="87"/>
      <c r="C476" s="63" t="s">
        <v>587</v>
      </c>
      <c r="D476" s="64" t="s">
        <v>440</v>
      </c>
      <c r="E476" s="95" t="s">
        <v>761</v>
      </c>
      <c r="F476" s="65"/>
      <c r="G476" s="97" t="s">
        <v>441</v>
      </c>
      <c r="H476" s="66" t="s">
        <v>442</v>
      </c>
      <c r="I476" s="67">
        <f>VLOOKUP(D476,A!A$1:O$767,15,FALSE)</f>
        <v>2</v>
      </c>
      <c r="J476" s="67"/>
      <c r="K476" s="68">
        <f>IF(VLOOKUP(D476,A!A$1:O$767,11,FALSE)="y",1,0)</f>
        <v>0</v>
      </c>
      <c r="L476" s="68">
        <f>IF(VLOOKUP(D476,A!A$1:O$767,12,FALSE)="y",1,0)</f>
        <v>0</v>
      </c>
      <c r="M476" s="711"/>
      <c r="N476" s="67">
        <f>VLOOKUP(D476,A!A$1:O$767,13,FALSE)</f>
        <v>0</v>
      </c>
      <c r="O476" s="93" t="s">
        <v>73</v>
      </c>
      <c r="P476" s="10">
        <f>VLOOKUP(D476,A!A$1:O$767,9,FALSE)</f>
        <v>0</v>
      </c>
      <c r="Q476" s="10" t="s">
        <v>716</v>
      </c>
      <c r="R476" s="10">
        <f t="shared" si="45"/>
        <v>0</v>
      </c>
      <c r="S476" s="10">
        <f>VLOOKUP(D476,A!A$1:AK$767,32,FALSE)</f>
        <v>35</v>
      </c>
      <c r="T476" s="10">
        <v>0.125</v>
      </c>
      <c r="U476" s="10">
        <f t="shared" si="46"/>
        <v>0</v>
      </c>
      <c r="X476" s="10"/>
    </row>
    <row r="477" spans="1:24" ht="11.25" hidden="1" customHeight="1" x14ac:dyDescent="0.25">
      <c r="A477" s="1" t="str">
        <f>IF(R477=0,"",COUNTIF(A$23:A476,"&gt;0")+1)</f>
        <v/>
      </c>
      <c r="B477" s="87"/>
      <c r="C477" s="63" t="s">
        <v>587</v>
      </c>
      <c r="D477" s="527" t="s">
        <v>455</v>
      </c>
      <c r="E477" s="95" t="s">
        <v>762</v>
      </c>
      <c r="F477" s="65"/>
      <c r="G477" s="97" t="s">
        <v>456</v>
      </c>
      <c r="H477" s="66" t="s">
        <v>457</v>
      </c>
      <c r="I477" s="67">
        <f>VLOOKUP(D477,A!A$1:O$767,15,FALSE)</f>
        <v>0</v>
      </c>
      <c r="J477" s="67"/>
      <c r="K477" s="68">
        <f>IF(VLOOKUP(D477,A!A$1:O$767,11,FALSE)="y",1,0)</f>
        <v>0</v>
      </c>
      <c r="L477" s="68">
        <f>IF(VLOOKUP(D477,A!A$1:O$767,12,FALSE)="y",1,0)</f>
        <v>0</v>
      </c>
      <c r="M477" s="711"/>
      <c r="N477" s="67">
        <f>VLOOKUP(D477,A!A$1:O$767,13,FALSE)</f>
        <v>0</v>
      </c>
      <c r="O477" s="93" t="s">
        <v>65</v>
      </c>
      <c r="P477" s="10">
        <f>VLOOKUP(D477,A!A$1:O$767,9,FALSE)</f>
        <v>0</v>
      </c>
      <c r="Q477" s="10" t="s">
        <v>716</v>
      </c>
      <c r="R477" s="10">
        <f>B477</f>
        <v>0</v>
      </c>
      <c r="S477" s="10">
        <v>35</v>
      </c>
      <c r="T477" s="10">
        <v>0.125</v>
      </c>
      <c r="U477" s="10">
        <f>T477*B477</f>
        <v>0</v>
      </c>
      <c r="X477" s="10"/>
    </row>
    <row r="478" spans="1:24" ht="11.25" customHeight="1" x14ac:dyDescent="0.25">
      <c r="A478" s="1" t="str">
        <f>IF(R478=0,"",COUNTIF(A$23:A477,"&gt;0")+1)</f>
        <v/>
      </c>
      <c r="B478" s="87"/>
      <c r="C478" s="63" t="s">
        <v>587</v>
      </c>
      <c r="D478" s="64" t="s">
        <v>458</v>
      </c>
      <c r="E478" s="65"/>
      <c r="F478" s="65"/>
      <c r="G478" s="97" t="s">
        <v>459</v>
      </c>
      <c r="H478" s="66" t="s">
        <v>763</v>
      </c>
      <c r="I478" s="67">
        <f>VLOOKUP(D478,A!A$1:O$767,15,FALSE)</f>
        <v>2</v>
      </c>
      <c r="J478" s="67" t="s">
        <v>63</v>
      </c>
      <c r="K478" s="68">
        <f>IF(VLOOKUP(D478,A!A$1:O$767,11,FALSE)="y",1,0)</f>
        <v>1</v>
      </c>
      <c r="L478" s="68">
        <f>IF(VLOOKUP(D478,A!A$1:O$767,12,FALSE)="y",1,0)</f>
        <v>1</v>
      </c>
      <c r="M478" s="711" t="s">
        <v>726</v>
      </c>
      <c r="N478" s="67">
        <f>VLOOKUP(D478,A!A$1:O$767,13,FALSE)</f>
        <v>0</v>
      </c>
      <c r="O478" s="93" t="s">
        <v>65</v>
      </c>
      <c r="P478" s="10" t="str">
        <f>VLOOKUP(D478,A!A$1:O$767,9,FALSE)</f>
        <v>y</v>
      </c>
      <c r="Q478" s="10" t="s">
        <v>716</v>
      </c>
      <c r="R478" s="10">
        <f t="shared" si="45"/>
        <v>0</v>
      </c>
      <c r="S478" s="10">
        <f>VLOOKUP(D478,A!A$1:AK$767,32,FALSE)</f>
        <v>55</v>
      </c>
      <c r="T478" s="10">
        <v>0.125</v>
      </c>
      <c r="U478" s="10">
        <f t="shared" si="46"/>
        <v>0</v>
      </c>
      <c r="X478" s="10"/>
    </row>
    <row r="479" spans="1:24" ht="11.25" customHeight="1" x14ac:dyDescent="0.25">
      <c r="A479" s="1" t="str">
        <f>IF(R479=0,"",COUNTIF(A$23:A478,"&gt;0")+1)</f>
        <v/>
      </c>
      <c r="B479" s="87"/>
      <c r="C479" s="63" t="s">
        <v>587</v>
      </c>
      <c r="D479" s="64" t="s">
        <v>1470</v>
      </c>
      <c r="E479" s="65"/>
      <c r="F479" s="65"/>
      <c r="G479" s="97" t="s">
        <v>462</v>
      </c>
      <c r="H479" s="66" t="s">
        <v>463</v>
      </c>
      <c r="I479" s="67">
        <f>VLOOKUP(D479,A!A$1:O$767,15,FALSE)</f>
        <v>1</v>
      </c>
      <c r="J479" s="67"/>
      <c r="K479" s="68">
        <f>IF(VLOOKUP(D479,A!A$1:O$767,11,FALSE)="y",1,0)</f>
        <v>1</v>
      </c>
      <c r="L479" s="68">
        <f>IF(VLOOKUP(D479,A!A$1:O$767,12,FALSE)="y",1,0)</f>
        <v>0</v>
      </c>
      <c r="M479" s="711" t="s">
        <v>726</v>
      </c>
      <c r="N479" s="67">
        <f>VLOOKUP(D479,A!A$1:O$767,13,FALSE)</f>
        <v>0</v>
      </c>
      <c r="O479" s="93" t="s">
        <v>65</v>
      </c>
      <c r="P479" s="10" t="str">
        <f>VLOOKUP(D479,A!A$1:O$767,9,FALSE)</f>
        <v>y</v>
      </c>
      <c r="Q479" s="10" t="s">
        <v>716</v>
      </c>
      <c r="R479" s="10">
        <f t="shared" si="45"/>
        <v>0</v>
      </c>
      <c r="S479" s="10">
        <f>VLOOKUP(D479,A!A$1:AK$767,32,FALSE)</f>
        <v>55</v>
      </c>
      <c r="T479" s="10">
        <v>0.125</v>
      </c>
      <c r="U479" s="10">
        <f t="shared" si="46"/>
        <v>0</v>
      </c>
      <c r="X479" s="10"/>
    </row>
    <row r="480" spans="1:24" ht="11.25" hidden="1" customHeight="1" x14ac:dyDescent="0.25">
      <c r="A480" s="1" t="str">
        <f>IF(R480=0,"",COUNTIF(A$23:A479,"&gt;0")+1)</f>
        <v/>
      </c>
      <c r="B480" s="87"/>
      <c r="C480" s="63" t="s">
        <v>587</v>
      </c>
      <c r="D480" s="64" t="s">
        <v>764</v>
      </c>
      <c r="E480" s="65"/>
      <c r="F480" s="65"/>
      <c r="G480" s="97" t="s">
        <v>765</v>
      </c>
      <c r="H480" s="66" t="s">
        <v>766</v>
      </c>
      <c r="I480" s="67">
        <f>VLOOKUP(D480,A!A$1:O$767,15,FALSE)</f>
        <v>0</v>
      </c>
      <c r="J480" s="67"/>
      <c r="K480" s="68">
        <f>IF(VLOOKUP(D480,A!A$1:O$767,11,FALSE)="y",1,0)</f>
        <v>0</v>
      </c>
      <c r="L480" s="68">
        <f>IF(VLOOKUP(D480,A!A$1:O$767,12,FALSE)="y",1,0)</f>
        <v>0</v>
      </c>
      <c r="M480" s="711"/>
      <c r="N480" s="67">
        <f>VLOOKUP(D480,A!A$1:O$767,13,FALSE)</f>
        <v>0</v>
      </c>
      <c r="O480" s="93">
        <v>1</v>
      </c>
      <c r="P480" s="10">
        <f>VLOOKUP(D480,A!A$1:O$767,9,FALSE)</f>
        <v>0</v>
      </c>
      <c r="Q480" s="10" t="s">
        <v>716</v>
      </c>
      <c r="R480" s="10">
        <f t="shared" si="45"/>
        <v>0</v>
      </c>
      <c r="S480" s="10" t="str">
        <f>VLOOKUP(D480,A!A$1:AK$767,32,FALSE)</f>
        <v/>
      </c>
      <c r="T480" s="10">
        <v>0.125</v>
      </c>
      <c r="U480" s="10">
        <f t="shared" si="46"/>
        <v>0</v>
      </c>
      <c r="X480" s="10"/>
    </row>
    <row r="481" spans="1:24" ht="11.25" hidden="1" customHeight="1" x14ac:dyDescent="0.25">
      <c r="A481" s="1" t="str">
        <f>IF(R481=0,"",COUNTIF(A$23:A480,"&gt;0")+1)</f>
        <v/>
      </c>
      <c r="B481" s="87"/>
      <c r="C481" s="63" t="s">
        <v>587</v>
      </c>
      <c r="D481" s="527" t="s">
        <v>1468</v>
      </c>
      <c r="E481" s="65"/>
      <c r="F481" s="65"/>
      <c r="G481" s="97" t="s">
        <v>471</v>
      </c>
      <c r="H481" s="66" t="s">
        <v>472</v>
      </c>
      <c r="I481" s="67">
        <v>2</v>
      </c>
      <c r="J481" s="67"/>
      <c r="K481" s="68" t="e">
        <f>IF(VLOOKUP(D481,A!A$1:O$767,11,FALSE)="y",1,0)</f>
        <v>#N/A</v>
      </c>
      <c r="L481" s="68"/>
      <c r="M481" s="711"/>
      <c r="N481" s="67"/>
      <c r="O481" s="93" t="s">
        <v>65</v>
      </c>
      <c r="P481" s="10" t="s">
        <v>66</v>
      </c>
      <c r="Q481" s="10" t="s">
        <v>716</v>
      </c>
      <c r="R481" s="10">
        <f t="shared" ref="R481" si="47">B481</f>
        <v>0</v>
      </c>
      <c r="S481" s="10" t="e">
        <f>VLOOKUP(D481,A!A$1:AK$767,32,FALSE)</f>
        <v>#N/A</v>
      </c>
      <c r="T481" s="10">
        <v>0.125</v>
      </c>
      <c r="U481" s="10">
        <f t="shared" ref="U481" si="48">T481*B481</f>
        <v>0</v>
      </c>
      <c r="X481" s="10"/>
    </row>
    <row r="482" spans="1:24" ht="11.25" hidden="1" customHeight="1" x14ac:dyDescent="0.25">
      <c r="A482" s="1" t="str">
        <f>IF(R482=0,"",COUNTIF(A$23:A481,"&gt;0")+1)</f>
        <v/>
      </c>
      <c r="B482" s="87"/>
      <c r="C482" s="63" t="s">
        <v>587</v>
      </c>
      <c r="D482" s="64" t="s">
        <v>767</v>
      </c>
      <c r="E482" s="65"/>
      <c r="F482" s="65"/>
      <c r="G482" s="97" t="s">
        <v>477</v>
      </c>
      <c r="H482" s="66" t="s">
        <v>478</v>
      </c>
      <c r="I482" s="67">
        <f>VLOOKUP(D482,A!A$1:O$767,15,FALSE)</f>
        <v>1</v>
      </c>
      <c r="J482" s="67"/>
      <c r="K482" s="68">
        <f>IF(VLOOKUP(D482,A!A$1:O$767,11,FALSE)="y",1,0)</f>
        <v>0</v>
      </c>
      <c r="L482" s="68">
        <f>IF(VLOOKUP(D482,A!A$1:O$767,12,FALSE)="y",1,0)</f>
        <v>0</v>
      </c>
      <c r="M482" s="711"/>
      <c r="N482" s="67">
        <f>VLOOKUP(D482,A!A$1:O$767,13,FALSE)</f>
        <v>0</v>
      </c>
      <c r="O482" s="93" t="s">
        <v>65</v>
      </c>
      <c r="P482" s="10">
        <f>VLOOKUP(D482,A!A$1:O$767,9,FALSE)</f>
        <v>0</v>
      </c>
      <c r="Q482" s="10" t="s">
        <v>716</v>
      </c>
      <c r="R482" s="10">
        <f t="shared" si="45"/>
        <v>0</v>
      </c>
      <c r="S482" s="10">
        <f>VLOOKUP(D482,A!A$1:AK$767,32,FALSE)</f>
        <v>55</v>
      </c>
      <c r="T482" s="10">
        <v>0.125</v>
      </c>
      <c r="U482" s="10">
        <f t="shared" si="46"/>
        <v>0</v>
      </c>
      <c r="X482" s="10"/>
    </row>
    <row r="483" spans="1:24" ht="11.25" hidden="1" customHeight="1" x14ac:dyDescent="0.25">
      <c r="A483" s="1" t="str">
        <f>IF(R483=0,"",COUNTIF(A$23:A482,"&gt;0")+1)</f>
        <v/>
      </c>
      <c r="B483" s="87"/>
      <c r="C483" s="63" t="s">
        <v>587</v>
      </c>
      <c r="D483" s="691" t="s">
        <v>482</v>
      </c>
      <c r="E483" s="65"/>
      <c r="F483" s="65"/>
      <c r="G483" s="89" t="s">
        <v>484</v>
      </c>
      <c r="H483" s="90" t="s">
        <v>485</v>
      </c>
      <c r="I483" s="67">
        <v>2</v>
      </c>
      <c r="J483" s="67"/>
      <c r="K483" s="68"/>
      <c r="L483" s="68"/>
      <c r="M483" s="711" t="s">
        <v>64</v>
      </c>
      <c r="N483" s="67"/>
      <c r="O483" s="93" t="s">
        <v>65</v>
      </c>
      <c r="P483" s="10">
        <f>VLOOKUP(D483,A!A$1:O$767,9,FALSE)</f>
        <v>0</v>
      </c>
      <c r="Q483" s="10" t="s">
        <v>716</v>
      </c>
      <c r="R483" s="10">
        <f>B483</f>
        <v>0</v>
      </c>
      <c r="S483" s="10">
        <f>VLOOKUP(D483,A!A$1:AK$767,32,FALSE)</f>
        <v>55</v>
      </c>
      <c r="T483" s="10">
        <v>0.125</v>
      </c>
      <c r="U483" s="10">
        <f>T483*B483</f>
        <v>0</v>
      </c>
      <c r="X483" s="10"/>
    </row>
    <row r="484" spans="1:24" ht="11.25" hidden="1" customHeight="1" x14ac:dyDescent="0.25">
      <c r="A484" s="1" t="str">
        <f>IF(R484=0,"",COUNTIF(A$23:A483,"&gt;0")+1)</f>
        <v/>
      </c>
      <c r="B484" s="87"/>
      <c r="C484" s="63" t="s">
        <v>587</v>
      </c>
      <c r="D484" s="64" t="s">
        <v>486</v>
      </c>
      <c r="E484" s="95" t="s">
        <v>483</v>
      </c>
      <c r="F484" s="65"/>
      <c r="G484" s="97" t="s">
        <v>768</v>
      </c>
      <c r="H484" s="66" t="s">
        <v>769</v>
      </c>
      <c r="I484" s="67">
        <f>VLOOKUP(D484,A!A$1:O$767,15,FALSE)</f>
        <v>2</v>
      </c>
      <c r="J484" s="67"/>
      <c r="K484" s="68">
        <f>IF(VLOOKUP(D484,A!A$1:O$767,11,FALSE)="y",1,0)</f>
        <v>0</v>
      </c>
      <c r="L484" s="68">
        <f>IF(VLOOKUP(D484,A!A$1:O$767,12,FALSE)="y",1,0)</f>
        <v>0</v>
      </c>
      <c r="M484" s="711"/>
      <c r="N484" s="67">
        <f>VLOOKUP(D484,A!A$1:O$767,13,FALSE)</f>
        <v>0</v>
      </c>
      <c r="O484" s="93" t="s">
        <v>65</v>
      </c>
      <c r="P484" s="10">
        <f>VLOOKUP(D484,A!A$1:O$767,9,FALSE)</f>
        <v>0</v>
      </c>
      <c r="Q484" s="10" t="s">
        <v>716</v>
      </c>
      <c r="R484" s="10">
        <f t="shared" si="45"/>
        <v>0</v>
      </c>
      <c r="S484" s="10">
        <f>VLOOKUP(D484,A!A$1:AK$767,32,FALSE)</f>
        <v>35</v>
      </c>
      <c r="T484" s="10">
        <v>0.125</v>
      </c>
      <c r="U484" s="10">
        <f t="shared" si="46"/>
        <v>0</v>
      </c>
      <c r="X484" s="10"/>
    </row>
    <row r="485" spans="1:24" ht="11.25" hidden="1" customHeight="1" x14ac:dyDescent="0.25">
      <c r="A485" s="1" t="str">
        <f>IF(R485=0,"",COUNTIF(A$23:A484,"&gt;0")+1)</f>
        <v/>
      </c>
      <c r="B485" s="87"/>
      <c r="C485" s="63" t="s">
        <v>587</v>
      </c>
      <c r="D485" s="64" t="s">
        <v>487</v>
      </c>
      <c r="E485" s="65"/>
      <c r="F485" s="65"/>
      <c r="G485" s="97" t="s">
        <v>1316</v>
      </c>
      <c r="H485" s="66" t="s">
        <v>489</v>
      </c>
      <c r="I485" s="67">
        <f>VLOOKUP(D485,A!A$1:O$767,15,FALSE)</f>
        <v>2</v>
      </c>
      <c r="J485" s="67" t="s">
        <v>63</v>
      </c>
      <c r="K485" s="68">
        <f>IF(VLOOKUP(D485,A!A$1:O$767,11,FALSE)="y",1,0)</f>
        <v>0</v>
      </c>
      <c r="L485" s="68">
        <f>IF(VLOOKUP(D485,A!A$1:O$767,12,FALSE)="y",1,0)</f>
        <v>0</v>
      </c>
      <c r="M485" s="711"/>
      <c r="N485" s="67">
        <f>VLOOKUP(D485,A!A$1:O$767,13,FALSE)</f>
        <v>0</v>
      </c>
      <c r="O485" s="93" t="s">
        <v>65</v>
      </c>
      <c r="P485" s="10">
        <f>VLOOKUP(D485,A!A$1:O$767,9,FALSE)</f>
        <v>0</v>
      </c>
      <c r="Q485" s="10" t="s">
        <v>716</v>
      </c>
      <c r="R485" s="10">
        <f t="shared" si="45"/>
        <v>0</v>
      </c>
      <c r="S485" s="10">
        <f>VLOOKUP(D485,A!A$1:AK$767,32,FALSE)</f>
        <v>55</v>
      </c>
      <c r="T485" s="10">
        <v>0.125</v>
      </c>
      <c r="U485" s="10">
        <f t="shared" si="46"/>
        <v>0</v>
      </c>
      <c r="X485" s="10"/>
    </row>
    <row r="486" spans="1:24" ht="11.25" hidden="1" customHeight="1" x14ac:dyDescent="0.25">
      <c r="A486" s="1" t="str">
        <f>IF(R486=0,"",COUNTIF(A$23:A485,"&gt;0")+1)</f>
        <v/>
      </c>
      <c r="B486" s="87"/>
      <c r="C486" s="63" t="s">
        <v>587</v>
      </c>
      <c r="D486" s="64" t="s">
        <v>490</v>
      </c>
      <c r="E486" s="65"/>
      <c r="F486" s="65"/>
      <c r="G486" s="97" t="s">
        <v>491</v>
      </c>
      <c r="H486" s="66" t="s">
        <v>492</v>
      </c>
      <c r="I486" s="67">
        <f>VLOOKUP(D486,A!A$1:O$767,15,FALSE)</f>
        <v>0</v>
      </c>
      <c r="J486" s="67"/>
      <c r="K486" s="68">
        <f>IF(VLOOKUP(D486,A!A$1:O$767,11,FALSE)="y",1,0)</f>
        <v>0</v>
      </c>
      <c r="L486" s="68">
        <f>IF(VLOOKUP(D486,A!A$1:O$767,12,FALSE)="y",1,0)</f>
        <v>0</v>
      </c>
      <c r="M486" s="92"/>
      <c r="N486" s="67">
        <f>VLOOKUP(D486,A!A$1:O$767,13,FALSE)</f>
        <v>0</v>
      </c>
      <c r="O486" s="93" t="s">
        <v>65</v>
      </c>
      <c r="P486" s="10">
        <f>VLOOKUP(D486,A!A$1:O$767,9,FALSE)</f>
        <v>0</v>
      </c>
      <c r="Q486" s="10" t="s">
        <v>716</v>
      </c>
      <c r="R486" s="10">
        <f t="shared" si="45"/>
        <v>0</v>
      </c>
      <c r="S486" s="10" t="str">
        <f>VLOOKUP(D486,A!A$1:AK$767,32,FALSE)</f>
        <v/>
      </c>
      <c r="T486" s="10">
        <v>0.125</v>
      </c>
      <c r="U486" s="10">
        <f t="shared" si="46"/>
        <v>0</v>
      </c>
      <c r="X486" s="10"/>
    </row>
    <row r="487" spans="1:24" ht="11.25" hidden="1" customHeight="1" x14ac:dyDescent="0.25">
      <c r="A487" s="1" t="str">
        <f>IF(R487=0,"",COUNTIF(A$23:A486,"&gt;0")+1)</f>
        <v/>
      </c>
      <c r="B487" s="87"/>
      <c r="C487" s="63" t="s">
        <v>587</v>
      </c>
      <c r="D487" s="64" t="s">
        <v>493</v>
      </c>
      <c r="E487" s="95"/>
      <c r="F487" s="65"/>
      <c r="G487" s="97" t="s">
        <v>494</v>
      </c>
      <c r="H487" s="66" t="s">
        <v>495</v>
      </c>
      <c r="I487" s="67">
        <f>VLOOKUP(D487,A!A$1:O$767,15,FALSE)</f>
        <v>1</v>
      </c>
      <c r="J487" s="67"/>
      <c r="K487" s="68">
        <f>IF(VLOOKUP(D487,A!A$1:O$767,11,FALSE)="y",1,0)</f>
        <v>0</v>
      </c>
      <c r="L487" s="68">
        <f>IF(VLOOKUP(D487,A!A$1:O$767,12,FALSE)="y",1,0)</f>
        <v>0</v>
      </c>
      <c r="M487" s="92" t="s">
        <v>64</v>
      </c>
      <c r="N487" s="67">
        <f>VLOOKUP(D487,A!A$1:O$767,13,FALSE)</f>
        <v>0</v>
      </c>
      <c r="O487" s="93">
        <v>2</v>
      </c>
      <c r="P487" s="10">
        <f>VLOOKUP(D487,A!A$1:O$767,9,FALSE)</f>
        <v>0</v>
      </c>
      <c r="Q487" s="10" t="s">
        <v>716</v>
      </c>
      <c r="R487" s="10">
        <f t="shared" ref="R487:R492" si="49">B487</f>
        <v>0</v>
      </c>
      <c r="S487" s="10">
        <f>VLOOKUP(D487,A!A$1:AK$767,32,FALSE)</f>
        <v>35</v>
      </c>
      <c r="T487" s="10">
        <v>0.125</v>
      </c>
      <c r="U487" s="10">
        <f>T487*B487</f>
        <v>0</v>
      </c>
      <c r="X487" s="10"/>
    </row>
    <row r="488" spans="1:24" ht="11.25" hidden="1" customHeight="1" x14ac:dyDescent="0.25">
      <c r="A488" s="1" t="str">
        <f>IF(R488=0,"",COUNTIF(A$23:A487,"&gt;0")+1)</f>
        <v/>
      </c>
      <c r="B488" s="87"/>
      <c r="C488" s="63" t="s">
        <v>587</v>
      </c>
      <c r="D488" s="64" t="s">
        <v>496</v>
      </c>
      <c r="E488" s="65"/>
      <c r="F488" s="65"/>
      <c r="G488" s="97" t="s">
        <v>497</v>
      </c>
      <c r="H488" s="66" t="s">
        <v>498</v>
      </c>
      <c r="I488" s="67">
        <f>VLOOKUP(D488,A!A$1:O$767,15,FALSE)</f>
        <v>0</v>
      </c>
      <c r="J488" s="67" t="s">
        <v>63</v>
      </c>
      <c r="K488" s="68">
        <f>IF(VLOOKUP(D488,A!A$1:O$767,11,FALSE)="y",1,0)</f>
        <v>0</v>
      </c>
      <c r="L488" s="68">
        <f>IF(VLOOKUP(D488,A!A$1:O$767,12,FALSE)="y",1,0)</f>
        <v>0</v>
      </c>
      <c r="M488" s="92"/>
      <c r="N488" s="67">
        <f>VLOOKUP(D488,A!A$1:O$767,13,FALSE)</f>
        <v>0</v>
      </c>
      <c r="O488" s="93" t="s">
        <v>73</v>
      </c>
      <c r="P488" s="10">
        <f>VLOOKUP(D488,A!A$1:O$767,9,FALSE)</f>
        <v>0</v>
      </c>
      <c r="Q488" s="10" t="s">
        <v>716</v>
      </c>
      <c r="R488" s="10">
        <f t="shared" si="49"/>
        <v>0</v>
      </c>
      <c r="S488" s="10" t="str">
        <f>VLOOKUP(D488,A!A$1:AK$767,32,FALSE)</f>
        <v/>
      </c>
      <c r="T488" s="10">
        <v>0.125</v>
      </c>
      <c r="U488" s="10">
        <f>T488*B488</f>
        <v>0</v>
      </c>
      <c r="X488" s="10"/>
    </row>
    <row r="489" spans="1:24" ht="11.25" customHeight="1" thickBot="1" x14ac:dyDescent="0.3">
      <c r="A489" s="1" t="str">
        <f>IF(R489=0,"",COUNTIF(A$23:A488,"&gt;0")+1)</f>
        <v/>
      </c>
      <c r="B489" s="87"/>
      <c r="C489" s="63" t="s">
        <v>587</v>
      </c>
      <c r="D489" s="64" t="s">
        <v>499</v>
      </c>
      <c r="E489" s="65"/>
      <c r="F489" s="65"/>
      <c r="G489" s="97" t="s">
        <v>500</v>
      </c>
      <c r="H489" s="66" t="s">
        <v>501</v>
      </c>
      <c r="I489" s="67">
        <f>VLOOKUP(D489,A!A$1:O$767,15,FALSE)</f>
        <v>1</v>
      </c>
      <c r="J489" s="67"/>
      <c r="K489" s="68">
        <f>IF(VLOOKUP(D489,A!A$1:O$767,11,FALSE)="y",1,0)</f>
        <v>1</v>
      </c>
      <c r="L489" s="68">
        <f>IF(VLOOKUP(D489,A!A$1:O$767,12,FALSE)="y",1,0)</f>
        <v>1</v>
      </c>
      <c r="M489" s="711" t="s">
        <v>726</v>
      </c>
      <c r="N489" s="67">
        <f>VLOOKUP(D489,A!A$1:O$767,13,FALSE)</f>
        <v>0</v>
      </c>
      <c r="O489" s="93" t="s">
        <v>73</v>
      </c>
      <c r="P489" s="10" t="str">
        <f>VLOOKUP(D489,A!A$1:O$767,9,FALSE)</f>
        <v>y</v>
      </c>
      <c r="Q489" s="10" t="s">
        <v>716</v>
      </c>
      <c r="R489" s="10">
        <f t="shared" si="49"/>
        <v>0</v>
      </c>
      <c r="S489" s="10">
        <f>VLOOKUP(D489,A!A$1:AK$767,32,FALSE)</f>
        <v>55</v>
      </c>
      <c r="T489" s="10">
        <v>0.125</v>
      </c>
      <c r="U489" s="10">
        <f>T489*B489</f>
        <v>0</v>
      </c>
      <c r="X489" s="10"/>
    </row>
    <row r="490" spans="1:24" ht="11.25" hidden="1" customHeight="1" x14ac:dyDescent="0.25">
      <c r="A490" s="1" t="str">
        <f>IF(R490=0,"",COUNTIF(A$23:A489,"&gt;0")+1)</f>
        <v/>
      </c>
      <c r="B490" s="87"/>
      <c r="C490" s="63" t="s">
        <v>587</v>
      </c>
      <c r="D490" s="64" t="s">
        <v>502</v>
      </c>
      <c r="E490" s="65"/>
      <c r="F490" s="65"/>
      <c r="G490" s="96" t="s">
        <v>770</v>
      </c>
      <c r="H490" s="66" t="s">
        <v>771</v>
      </c>
      <c r="I490" s="67">
        <f>VLOOKUP(D490,A!A$1:O$767,15,FALSE)</f>
        <v>1</v>
      </c>
      <c r="J490" s="67"/>
      <c r="K490" s="68">
        <f>IF(VLOOKUP(D490,A!A$1:O$767,11,FALSE)="y",1,0)</f>
        <v>0</v>
      </c>
      <c r="L490" s="68">
        <f>IF(VLOOKUP(D490,A!A$1:O$767,12,FALSE)="y",1,0)</f>
        <v>0</v>
      </c>
      <c r="M490" s="92" t="str">
        <f>IF(VLOOKUP(D490,A!A$1:O$767,10,FALSE)="y","NEW","")</f>
        <v/>
      </c>
      <c r="N490" s="67">
        <f>VLOOKUP(D490,A!A$1:O$767,13,FALSE)</f>
        <v>0</v>
      </c>
      <c r="O490" s="93" t="s">
        <v>73</v>
      </c>
      <c r="P490" s="10">
        <f>VLOOKUP(D490,A!A$1:O$767,9,FALSE)</f>
        <v>0</v>
      </c>
      <c r="Q490" s="10" t="s">
        <v>716</v>
      </c>
      <c r="R490" s="10">
        <f t="shared" si="49"/>
        <v>0</v>
      </c>
      <c r="S490" s="10">
        <f>VLOOKUP(D490,A!A$1:AK$767,32,FALSE)</f>
        <v>55</v>
      </c>
      <c r="T490" s="10">
        <v>0.125</v>
      </c>
      <c r="U490" s="10">
        <f>T490*B490</f>
        <v>0</v>
      </c>
      <c r="X490" s="10"/>
    </row>
    <row r="491" spans="1:24" ht="11.25" hidden="1" customHeight="1" thickBot="1" x14ac:dyDescent="0.3">
      <c r="A491" s="1" t="str">
        <f>IF(R491=0,"",COUNTIF(A$23:A490,"&gt;0")+1)</f>
        <v/>
      </c>
      <c r="B491" s="209"/>
      <c r="C491" s="100" t="s">
        <v>587</v>
      </c>
      <c r="D491" s="210" t="s">
        <v>503</v>
      </c>
      <c r="E491" s="102"/>
      <c r="F491" s="102"/>
      <c r="G491" s="211" t="s">
        <v>770</v>
      </c>
      <c r="H491" s="104" t="s">
        <v>772</v>
      </c>
      <c r="I491" s="105">
        <f>VLOOKUP(D491,A!A$1:O$767,15,FALSE)</f>
        <v>1</v>
      </c>
      <c r="J491" s="105"/>
      <c r="K491" s="106">
        <f>IF(VLOOKUP(D491,A!A$1:O$767,11,FALSE)="y",1,0)</f>
        <v>0</v>
      </c>
      <c r="L491" s="106">
        <f>IF(VLOOKUP(D491,A!A$1:O$767,12,FALSE)="y",1,0)</f>
        <v>0</v>
      </c>
      <c r="M491" s="107" t="str">
        <f>IF(VLOOKUP(D491,A!A$1:O$767,10,FALSE)="y","NEW","")</f>
        <v/>
      </c>
      <c r="N491" s="105">
        <f>VLOOKUP(D491,A!A$1:O$767,13,FALSE)</f>
        <v>0</v>
      </c>
      <c r="O491" s="108" t="s">
        <v>73</v>
      </c>
      <c r="P491" s="10">
        <f>VLOOKUP(D491,A!A$1:O$767,9,FALSE)</f>
        <v>0</v>
      </c>
      <c r="Q491" s="10" t="s">
        <v>716</v>
      </c>
      <c r="R491" s="10">
        <f t="shared" si="49"/>
        <v>0</v>
      </c>
      <c r="S491" s="10" t="str">
        <f>VLOOKUP(D491,A!A$1:AK$767,32,FALSE)</f>
        <v/>
      </c>
      <c r="T491" s="10">
        <v>0.125</v>
      </c>
      <c r="U491" s="10">
        <f>T491*B491</f>
        <v>0</v>
      </c>
      <c r="X491" s="10"/>
    </row>
    <row r="492" spans="1:24" x14ac:dyDescent="0.25">
      <c r="A492" s="1" t="str">
        <f>IF(R492=0,"",COUNTIF(A$23:A491,"&gt;0")+1)</f>
        <v/>
      </c>
      <c r="B492" s="198">
        <f>SUM(B378:B491)</f>
        <v>0</v>
      </c>
      <c r="C492" s="110" t="s">
        <v>587</v>
      </c>
      <c r="D492" s="111" t="s">
        <v>773</v>
      </c>
      <c r="E492" s="112"/>
      <c r="F492" s="112"/>
      <c r="G492" s="112"/>
      <c r="H492" s="112"/>
      <c r="I492" s="112"/>
      <c r="J492" s="112"/>
      <c r="K492" s="112"/>
      <c r="L492" s="112"/>
      <c r="M492" s="212"/>
      <c r="N492" s="112"/>
      <c r="O492" s="109"/>
      <c r="P492" s="12"/>
      <c r="Q492" s="10" t="s">
        <v>716</v>
      </c>
      <c r="R492" s="10">
        <f t="shared" si="49"/>
        <v>0</v>
      </c>
      <c r="S492" s="10"/>
      <c r="T492" s="10"/>
      <c r="U492" s="10"/>
      <c r="X492" s="10"/>
    </row>
    <row r="493" spans="1:24" ht="7.5" customHeight="1" thickBot="1" x14ac:dyDescent="0.3">
      <c r="A493" s="1" t="str">
        <f>IF(R493=0,"",COUNTIF(A$23:A492,"&gt;0")+1)</f>
        <v/>
      </c>
      <c r="B493" s="528"/>
      <c r="C493" s="532"/>
      <c r="D493" s="533"/>
      <c r="E493" s="534"/>
      <c r="F493" s="534"/>
      <c r="G493" s="534"/>
      <c r="H493" s="534"/>
      <c r="I493" s="534"/>
      <c r="J493" s="534"/>
      <c r="K493" s="534"/>
      <c r="L493" s="534"/>
      <c r="M493" s="535"/>
      <c r="N493" s="534"/>
      <c r="O493" s="528"/>
      <c r="P493" s="524"/>
      <c r="Q493" s="10"/>
      <c r="R493" s="10"/>
      <c r="S493" s="10"/>
      <c r="T493" s="10"/>
      <c r="U493" s="10"/>
      <c r="X493" s="10"/>
    </row>
    <row r="494" spans="1:24" ht="12" customHeight="1" x14ac:dyDescent="0.25">
      <c r="A494" s="1" t="str">
        <f>IF(R494=0,"",COUNTIF(A$23:A493,"&gt;0")+1)</f>
        <v/>
      </c>
      <c r="B494" s="1191" t="s">
        <v>41</v>
      </c>
      <c r="C494" s="1191"/>
      <c r="D494" s="1232" t="s">
        <v>1430</v>
      </c>
      <c r="E494" s="1233"/>
      <c r="F494" s="1233"/>
      <c r="G494" s="1233"/>
      <c r="H494" s="1233"/>
      <c r="I494" s="548" t="s">
        <v>1283</v>
      </c>
      <c r="J494" s="548"/>
      <c r="K494" s="548"/>
      <c r="L494" s="548"/>
      <c r="M494" s="548"/>
      <c r="N494" s="548"/>
      <c r="O494" s="549"/>
      <c r="P494" s="524"/>
      <c r="Q494" s="10"/>
      <c r="R494" s="10"/>
      <c r="S494" s="10"/>
      <c r="T494" s="10"/>
      <c r="U494" s="10"/>
      <c r="X494" s="10"/>
    </row>
    <row r="495" spans="1:24" ht="12" customHeight="1" thickBot="1" x14ac:dyDescent="0.3">
      <c r="A495" s="1" t="str">
        <f>IF(R495=0,"",COUNTIF(A$23:A494,"&gt;0")+1)</f>
        <v/>
      </c>
      <c r="B495" s="1242" t="s">
        <v>1291</v>
      </c>
      <c r="C495" s="1242"/>
      <c r="D495" s="1234"/>
      <c r="E495" s="1235"/>
      <c r="F495" s="1235"/>
      <c r="G495" s="1235"/>
      <c r="H495" s="1235"/>
      <c r="I495" s="537"/>
      <c r="J495" s="533"/>
      <c r="K495" s="533"/>
      <c r="L495" s="533"/>
      <c r="M495" s="537"/>
      <c r="N495" s="533"/>
      <c r="O495" s="226" t="s">
        <v>48</v>
      </c>
      <c r="P495" s="524"/>
      <c r="Q495" s="10"/>
      <c r="R495" s="10"/>
      <c r="S495" s="10"/>
      <c r="T495" s="10"/>
      <c r="U495" s="10"/>
      <c r="X495" s="10"/>
    </row>
    <row r="496" spans="1:24" ht="12" customHeight="1" thickBot="1" x14ac:dyDescent="0.3">
      <c r="A496" s="1" t="str">
        <f>IF(R496=0,"",COUNTIF(A$23:A495,"&gt;0")+1)</f>
        <v/>
      </c>
      <c r="B496" s="966"/>
      <c r="C496" s="977" t="s">
        <v>905</v>
      </c>
      <c r="D496" s="967" t="s">
        <v>1217</v>
      </c>
      <c r="E496" s="968"/>
      <c r="F496" s="968"/>
      <c r="G496" s="969" t="s">
        <v>781</v>
      </c>
      <c r="H496" s="970" t="s">
        <v>1284</v>
      </c>
      <c r="I496" s="968"/>
      <c r="J496" s="971"/>
      <c r="K496" s="1030">
        <f>IF(VLOOKUP(D496,A!A$1:H$767,4,FALSE)="y",1,0)</f>
        <v>1</v>
      </c>
      <c r="L496" s="1030">
        <f>IF(VLOOKUP(D496,A!A$1:H$767,5,FALSE)="y",1,0)</f>
        <v>1</v>
      </c>
      <c r="M496" s="972"/>
      <c r="N496" s="968"/>
      <c r="O496" s="973"/>
      <c r="P496" s="10">
        <f>VLOOKUP(D496,A!A$1:O$767,9,FALSE)</f>
        <v>0</v>
      </c>
      <c r="Q496" s="10" t="s">
        <v>1288</v>
      </c>
      <c r="R496" s="10">
        <f>B496</f>
        <v>0</v>
      </c>
      <c r="S496" s="10">
        <v>35</v>
      </c>
      <c r="T496" s="10">
        <v>0.2</v>
      </c>
      <c r="U496" s="10">
        <f>T496*B496</f>
        <v>0</v>
      </c>
      <c r="X496" s="10"/>
    </row>
    <row r="497" spans="1:24" ht="12" hidden="1" customHeight="1" x14ac:dyDescent="0.25">
      <c r="A497" s="1" t="str">
        <f>IF(R497=0,"",COUNTIF(A$23:A496,"&gt;0")+1)</f>
        <v/>
      </c>
      <c r="B497" s="624"/>
      <c r="C497" s="615" t="s">
        <v>942</v>
      </c>
      <c r="D497" s="616" t="s">
        <v>808</v>
      </c>
      <c r="E497" s="534"/>
      <c r="F497" s="534"/>
      <c r="G497" s="617" t="s">
        <v>111</v>
      </c>
      <c r="H497" s="618" t="s">
        <v>112</v>
      </c>
      <c r="I497" s="534"/>
      <c r="J497" s="619"/>
      <c r="K497" s="1030">
        <f>IF(VLOOKUP(D497,A!A$1:H$767,4,FALSE)="y",1,0)</f>
        <v>1</v>
      </c>
      <c r="L497" s="1030">
        <f>IF(VLOOKUP(D497,A!A$1:H$767,5,FALSE)="y",1,0)</f>
        <v>0</v>
      </c>
      <c r="M497" s="535"/>
      <c r="N497" s="534"/>
      <c r="O497" s="625"/>
      <c r="P497" s="10">
        <f>VLOOKUP(D497,A!A$1:O$767,9,FALSE)</f>
        <v>0</v>
      </c>
      <c r="Q497" s="10" t="s">
        <v>1288</v>
      </c>
      <c r="R497" s="10">
        <f>B497</f>
        <v>0</v>
      </c>
      <c r="S497" s="10">
        <v>35</v>
      </c>
      <c r="T497" s="10">
        <v>0.2</v>
      </c>
      <c r="U497" s="10">
        <f>T497*B497</f>
        <v>0</v>
      </c>
      <c r="X497" s="10"/>
    </row>
    <row r="498" spans="1:24" ht="12" hidden="1" customHeight="1" x14ac:dyDescent="0.25">
      <c r="A498" s="1" t="str">
        <f>IF(R498=0,"",COUNTIF(A$23:A497,"&gt;0")+1)</f>
        <v/>
      </c>
      <c r="B498" s="622"/>
      <c r="C498" s="573" t="s">
        <v>942</v>
      </c>
      <c r="D498" s="575" t="s">
        <v>287</v>
      </c>
      <c r="E498" s="567"/>
      <c r="F498" s="567"/>
      <c r="G498" s="568" t="s">
        <v>283</v>
      </c>
      <c r="H498" s="574" t="s">
        <v>288</v>
      </c>
      <c r="I498" s="567"/>
      <c r="J498" s="569"/>
      <c r="K498" s="1030">
        <f>IF(VLOOKUP(D498,A!A$1:H$767,4,FALSE)="y",1,0)</f>
        <v>1</v>
      </c>
      <c r="L498" s="1030">
        <f>IF(VLOOKUP(D498,A!A$1:H$767,5,FALSE)="y",1,0)</f>
        <v>0</v>
      </c>
      <c r="M498" s="576" t="s">
        <v>64</v>
      </c>
      <c r="N498" s="567"/>
      <c r="O498" s="623"/>
      <c r="P498" s="10">
        <f>VLOOKUP(D498,A!A$1:O$767,9,FALSE)</f>
        <v>0</v>
      </c>
      <c r="Q498" s="10" t="s">
        <v>1288</v>
      </c>
      <c r="R498" s="10">
        <f>B498</f>
        <v>0</v>
      </c>
      <c r="S498" s="10">
        <v>35</v>
      </c>
      <c r="T498" s="10">
        <v>0.2</v>
      </c>
      <c r="U498" s="10">
        <f>T498*B498</f>
        <v>0</v>
      </c>
      <c r="X498" s="10"/>
    </row>
    <row r="499" spans="1:24" ht="12" customHeight="1" thickBot="1" x14ac:dyDescent="0.3">
      <c r="A499" s="1" t="str">
        <f>IF(R499=0,"",COUNTIF(A$23:A498,"&gt;0")+1)</f>
        <v/>
      </c>
      <c r="B499" s="987">
        <f>SUM(B496)</f>
        <v>0</v>
      </c>
      <c r="C499" s="978" t="s">
        <v>42</v>
      </c>
      <c r="D499" s="976" t="s">
        <v>1441</v>
      </c>
      <c r="E499" s="974"/>
      <c r="F499" s="975"/>
      <c r="G499" s="988"/>
      <c r="H499" s="983" t="s">
        <v>1449</v>
      </c>
      <c r="I499" s="984"/>
      <c r="J499" s="984"/>
      <c r="K499" s="1030">
        <f>IF(VLOOKUP(D499,A!A$1:H$767,4,FALSE)="y",1,0)</f>
        <v>1</v>
      </c>
      <c r="L499" s="1030">
        <f>IF(VLOOKUP(D499,A!A$1:H$767,5,FALSE)="y",1,0)</f>
        <v>1</v>
      </c>
      <c r="M499" s="984"/>
      <c r="N499" s="984"/>
      <c r="O499" s="985"/>
      <c r="P499" s="10" t="s">
        <v>56</v>
      </c>
      <c r="Q499" s="10" t="s">
        <v>1288</v>
      </c>
      <c r="R499" s="10">
        <f>B499</f>
        <v>0</v>
      </c>
      <c r="S499" s="10">
        <v>35</v>
      </c>
      <c r="T499" s="10">
        <v>0.2</v>
      </c>
      <c r="U499" s="10">
        <f>T499*B499</f>
        <v>0</v>
      </c>
      <c r="X499" s="10"/>
    </row>
    <row r="500" spans="1:24" x14ac:dyDescent="0.25">
      <c r="A500" s="1" t="str">
        <f>IF(R500=0,"",COUNTIF(A$23:A499,"&gt;0")+1)</f>
        <v/>
      </c>
      <c r="B500" s="528">
        <f>SUM(B496)*B499</f>
        <v>0</v>
      </c>
      <c r="C500" s="532" t="s">
        <v>905</v>
      </c>
      <c r="D500" s="533" t="s">
        <v>1485</v>
      </c>
      <c r="E500" s="534"/>
      <c r="F500" s="534"/>
      <c r="G500" s="534"/>
      <c r="H500" s="534"/>
      <c r="I500" s="534"/>
      <c r="J500" s="534"/>
      <c r="K500" s="534"/>
      <c r="L500" s="534"/>
      <c r="M500" s="535"/>
      <c r="N500" s="534"/>
      <c r="O500" s="536"/>
      <c r="P500" s="524"/>
      <c r="Q500" s="10" t="s">
        <v>1288</v>
      </c>
      <c r="R500" s="10">
        <f>B500</f>
        <v>0</v>
      </c>
      <c r="S500" s="10"/>
      <c r="T500" s="10"/>
      <c r="U500" s="10"/>
      <c r="X500" s="10"/>
    </row>
    <row r="501" spans="1:24" ht="7.5" customHeight="1" thickBot="1" x14ac:dyDescent="0.3">
      <c r="A501" s="1" t="str">
        <f>IF(R501=0,"",COUNTIF(A$23:A500,"&gt;0")+1)</f>
        <v/>
      </c>
      <c r="B501" s="528"/>
      <c r="C501" s="532"/>
      <c r="D501" s="533"/>
      <c r="E501" s="534"/>
      <c r="F501" s="534"/>
      <c r="G501" s="534"/>
      <c r="H501" s="534"/>
      <c r="I501" s="534"/>
      <c r="J501" s="534"/>
      <c r="K501" s="534"/>
      <c r="L501" s="534"/>
      <c r="M501" s="535"/>
      <c r="N501" s="534"/>
      <c r="O501" s="536"/>
      <c r="P501" s="524"/>
      <c r="Q501" s="10"/>
      <c r="R501" s="10"/>
      <c r="S501" s="10"/>
      <c r="T501" s="10"/>
      <c r="U501" s="10"/>
      <c r="X501" s="10"/>
    </row>
    <row r="502" spans="1:24" ht="9.75" customHeight="1" x14ac:dyDescent="0.25">
      <c r="A502" s="1" t="str">
        <f>IF(R502=0,"",COUNTIF(A$23:A501,"&gt;0")+1)</f>
        <v/>
      </c>
      <c r="B502" s="1225" t="s">
        <v>41</v>
      </c>
      <c r="C502" s="1226"/>
      <c r="D502" s="1192" t="s">
        <v>1429</v>
      </c>
      <c r="E502" s="1193"/>
      <c r="F502" s="1193"/>
      <c r="G502" s="1193"/>
      <c r="H502" s="1193"/>
      <c r="I502" s="1193"/>
      <c r="J502" s="1193"/>
      <c r="K502" s="1193"/>
      <c r="L502" s="1193"/>
      <c r="M502" s="1193"/>
      <c r="N502" s="112"/>
      <c r="O502" s="611"/>
      <c r="P502" s="12"/>
      <c r="Q502" s="10"/>
      <c r="R502" s="10"/>
      <c r="S502" s="10"/>
      <c r="T502" s="10"/>
      <c r="U502" s="10"/>
      <c r="X502" s="10"/>
    </row>
    <row r="503" spans="1:24" ht="11.25" customHeight="1" x14ac:dyDescent="0.25">
      <c r="A503" s="1" t="str">
        <f>IF(R503=0,"",COUNTIF(A$23:A502,"&gt;0")+1)</f>
        <v/>
      </c>
      <c r="B503" s="1240" t="s">
        <v>774</v>
      </c>
      <c r="C503" s="1241"/>
      <c r="D503" s="1194"/>
      <c r="E503" s="1195"/>
      <c r="F503" s="1195"/>
      <c r="G503" s="1195"/>
      <c r="H503" s="1195"/>
      <c r="I503" s="1195"/>
      <c r="J503" s="1195"/>
      <c r="K503" s="1195"/>
      <c r="L503" s="1195"/>
      <c r="M503" s="1195"/>
      <c r="N503" s="215"/>
      <c r="O503" s="612" t="s">
        <v>48</v>
      </c>
      <c r="P503" s="12"/>
      <c r="Q503" s="10"/>
      <c r="R503" s="10"/>
      <c r="S503" s="10"/>
      <c r="T503" s="10"/>
      <c r="U503" s="10"/>
      <c r="X503" s="10"/>
    </row>
    <row r="504" spans="1:24" ht="12" customHeight="1" thickBot="1" x14ac:dyDescent="0.3">
      <c r="A504" s="1" t="str">
        <f>IF(R504=0,"",COUNTIF(A$23:A503,"&gt;0")+1)</f>
        <v/>
      </c>
      <c r="B504" s="209"/>
      <c r="C504" s="613" t="s">
        <v>42</v>
      </c>
      <c r="D504" s="210" t="s">
        <v>775</v>
      </c>
      <c r="E504" s="102"/>
      <c r="F504" s="102"/>
      <c r="G504" s="230"/>
      <c r="H504" s="104" t="s">
        <v>776</v>
      </c>
      <c r="I504" s="105"/>
      <c r="J504" s="105"/>
      <c r="K504" s="106">
        <f>IF(VLOOKUP(D504,A!A$1:H$767,4,FALSE)="y",1,0)</f>
        <v>1</v>
      </c>
      <c r="L504" s="106">
        <f>IF(VLOOKUP(D504,A!A$1:H$767,5,FALSE)="y",1,0)</f>
        <v>1</v>
      </c>
      <c r="M504" s="107"/>
      <c r="N504" s="614"/>
      <c r="O504" s="108">
        <v>2</v>
      </c>
      <c r="P504" s="10" t="str">
        <f>VLOOKUP(D504,A!A$1:G$767,2,FALSE)</f>
        <v>y</v>
      </c>
      <c r="Q504" s="10" t="s">
        <v>777</v>
      </c>
      <c r="R504" s="10">
        <f>B504</f>
        <v>0</v>
      </c>
      <c r="S504" s="10">
        <v>35</v>
      </c>
      <c r="T504" s="10">
        <v>7.0000000000000007E-2</v>
      </c>
      <c r="U504" s="10">
        <f>T504*B504</f>
        <v>0</v>
      </c>
      <c r="X504" s="10"/>
    </row>
    <row r="505" spans="1:24" ht="11.25" customHeight="1" x14ac:dyDescent="0.25">
      <c r="A505" s="1" t="str">
        <f>IF(R505=0,"",COUNTIF(A$23:A504,"&gt;0")+1)</f>
        <v/>
      </c>
      <c r="B505" s="528">
        <f>B504</f>
        <v>0</v>
      </c>
      <c r="C505" s="610" t="s">
        <v>42</v>
      </c>
      <c r="D505" s="533" t="s">
        <v>778</v>
      </c>
      <c r="E505" s="534"/>
      <c r="F505" s="534"/>
      <c r="G505" s="534"/>
      <c r="H505" s="534"/>
      <c r="I505" s="534"/>
      <c r="J505" s="534"/>
      <c r="K505" s="534"/>
      <c r="L505" s="534"/>
      <c r="M505" s="535"/>
      <c r="N505" s="534"/>
      <c r="O505" s="536"/>
      <c r="P505" s="12"/>
      <c r="Q505" s="10" t="s">
        <v>777</v>
      </c>
      <c r="R505" s="10">
        <f>B505</f>
        <v>0</v>
      </c>
      <c r="S505" s="10"/>
      <c r="T505" s="10"/>
      <c r="U505" s="10"/>
      <c r="X505" s="10"/>
    </row>
    <row r="506" spans="1:24" ht="12" customHeight="1" thickBot="1" x14ac:dyDescent="0.3">
      <c r="A506" s="1" t="str">
        <f>IF(R506=0,"",COUNTIF(A$23:A505,"&gt;0")+1)</f>
        <v/>
      </c>
      <c r="B506" s="528"/>
      <c r="C506" s="610"/>
      <c r="D506" s="533"/>
      <c r="E506" s="534"/>
      <c r="F506" s="534"/>
      <c r="G506" s="534"/>
      <c r="H506" s="534"/>
      <c r="I506" s="534"/>
      <c r="J506" s="534"/>
      <c r="K506" s="534"/>
      <c r="L506" s="534"/>
      <c r="M506" s="535"/>
      <c r="N506" s="534"/>
      <c r="O506" s="536"/>
      <c r="P506" s="665"/>
      <c r="Q506" s="10"/>
      <c r="R506" s="10"/>
      <c r="S506" s="10"/>
      <c r="T506" s="10"/>
      <c r="U506" s="10"/>
      <c r="X506" s="10"/>
    </row>
    <row r="507" spans="1:24" ht="12" hidden="1" customHeight="1" x14ac:dyDescent="0.25">
      <c r="A507" s="1" t="str">
        <f>IF(R507=0,"",COUNTIF(A$23:A506,"&gt;0")+1)</f>
        <v/>
      </c>
      <c r="B507" s="1225" t="s">
        <v>41</v>
      </c>
      <c r="C507" s="1226"/>
      <c r="D507" s="1192" t="s">
        <v>1362</v>
      </c>
      <c r="E507" s="1193"/>
      <c r="F507" s="1193"/>
      <c r="G507" s="1193"/>
      <c r="H507" s="1193"/>
      <c r="I507" s="548" t="s">
        <v>1361</v>
      </c>
      <c r="J507" s="675"/>
      <c r="K507" s="675"/>
      <c r="L507" s="675"/>
      <c r="M507" s="675"/>
      <c r="N507" s="112"/>
      <c r="O507" s="611"/>
      <c r="P507" s="665"/>
      <c r="Q507" s="10"/>
      <c r="R507" s="10"/>
      <c r="S507" s="10"/>
      <c r="T507" s="10"/>
      <c r="U507" s="10"/>
      <c r="X507" s="10"/>
    </row>
    <row r="508" spans="1:24" ht="14.25" hidden="1" customHeight="1" thickBot="1" x14ac:dyDescent="0.3">
      <c r="A508" s="1" t="str">
        <f>IF(R508=0,"",COUNTIF(A$23:A507,"&gt;0")+1)</f>
        <v/>
      </c>
      <c r="B508" s="1236" t="s">
        <v>774</v>
      </c>
      <c r="C508" s="1237"/>
      <c r="D508" s="1238"/>
      <c r="E508" s="1239"/>
      <c r="F508" s="1239"/>
      <c r="G508" s="1239"/>
      <c r="H508" s="1239"/>
      <c r="I508" s="695"/>
      <c r="J508" s="695"/>
      <c r="K508" s="695"/>
      <c r="L508" s="695"/>
      <c r="M508" s="695"/>
      <c r="N508" s="533"/>
      <c r="O508" s="226" t="s">
        <v>48</v>
      </c>
      <c r="P508" s="665"/>
      <c r="Q508" s="10"/>
      <c r="R508" s="10"/>
      <c r="S508" s="10"/>
      <c r="T508" s="10"/>
      <c r="U508" s="10"/>
      <c r="X508" s="10"/>
    </row>
    <row r="509" spans="1:24" ht="12" hidden="1" customHeight="1" thickBot="1" x14ac:dyDescent="0.3">
      <c r="A509" s="1" t="str">
        <f>IF(R509=0,"",COUNTIF(A$23:A508,"&gt;0")+1)</f>
        <v/>
      </c>
      <c r="B509" s="696"/>
      <c r="C509" s="697" t="s">
        <v>587</v>
      </c>
      <c r="D509" s="698" t="s">
        <v>1359</v>
      </c>
      <c r="E509" s="699"/>
      <c r="F509" s="699"/>
      <c r="G509" s="700"/>
      <c r="H509" s="701" t="s">
        <v>1363</v>
      </c>
      <c r="I509" s="702"/>
      <c r="J509" s="702"/>
      <c r="K509" s="703"/>
      <c r="L509" s="703"/>
      <c r="M509" s="704"/>
      <c r="N509" s="702"/>
      <c r="O509" s="705">
        <v>2</v>
      </c>
      <c r="P509" s="10">
        <f>VLOOKUP(D509,A!A$1:G$767,2,FALSE)</f>
        <v>0</v>
      </c>
      <c r="Q509" s="10" t="s">
        <v>1359</v>
      </c>
      <c r="R509" s="10">
        <f>B509</f>
        <v>0</v>
      </c>
      <c r="S509" s="10">
        <v>45</v>
      </c>
      <c r="T509" s="10">
        <v>7.0000000000000007E-2</v>
      </c>
      <c r="U509" s="10">
        <f>T509*B509</f>
        <v>0</v>
      </c>
      <c r="X509" s="10"/>
    </row>
    <row r="510" spans="1:24" ht="12" hidden="1" customHeight="1" x14ac:dyDescent="0.25">
      <c r="A510" s="1" t="str">
        <f>IF(R510=0,"",COUNTIF(A$23:A509,"&gt;0")+1)</f>
        <v/>
      </c>
      <c r="B510" s="528">
        <f>B509</f>
        <v>0</v>
      </c>
      <c r="C510" s="610" t="s">
        <v>42</v>
      </c>
      <c r="D510" s="533" t="s">
        <v>1360</v>
      </c>
      <c r="E510" s="534"/>
      <c r="F510" s="534"/>
      <c r="G510" s="534"/>
      <c r="H510" s="534"/>
      <c r="I510" s="534"/>
      <c r="J510" s="534"/>
      <c r="K510" s="534"/>
      <c r="L510" s="534"/>
      <c r="M510" s="535"/>
      <c r="N510" s="534"/>
      <c r="O510" s="536"/>
      <c r="P510" s="665"/>
      <c r="Q510" s="10" t="s">
        <v>1359</v>
      </c>
      <c r="R510" s="10">
        <f>B510</f>
        <v>0</v>
      </c>
      <c r="S510" s="10"/>
      <c r="T510" s="10"/>
      <c r="U510" s="10"/>
      <c r="X510" s="10"/>
    </row>
    <row r="511" spans="1:24" ht="8.25" hidden="1" customHeight="1" thickBot="1" x14ac:dyDescent="0.3">
      <c r="A511" s="1" t="str">
        <f>IF(R511=0,"",COUNTIF(A$23:A510,"&gt;0")+1)</f>
        <v/>
      </c>
      <c r="B511" s="528"/>
      <c r="C511" s="610"/>
      <c r="D511" s="533"/>
      <c r="E511" s="534"/>
      <c r="F511" s="534"/>
      <c r="G511" s="534"/>
      <c r="H511" s="534"/>
      <c r="I511" s="534"/>
      <c r="J511" s="534"/>
      <c r="K511" s="534"/>
      <c r="L511" s="534"/>
      <c r="M511" s="535"/>
      <c r="N511" s="534"/>
      <c r="O511" s="536"/>
      <c r="P511" s="665"/>
      <c r="Q511" s="10"/>
      <c r="R511" s="10"/>
      <c r="S511" s="10"/>
      <c r="T511" s="10"/>
      <c r="U511" s="10"/>
      <c r="X511" s="10"/>
    </row>
    <row r="512" spans="1:24" ht="10.5" customHeight="1" x14ac:dyDescent="0.25">
      <c r="A512" s="1" t="str">
        <f>IF(R512=0,"",COUNTIF(A$23:A511,"&gt;0")+1)</f>
        <v/>
      </c>
      <c r="B512" s="1225" t="s">
        <v>41</v>
      </c>
      <c r="C512" s="1226"/>
      <c r="D512" s="1221" t="s">
        <v>779</v>
      </c>
      <c r="E512" s="1222"/>
      <c r="F512" s="1222"/>
      <c r="G512" s="1222"/>
      <c r="H512" s="1222" t="s">
        <v>1042</v>
      </c>
      <c r="I512" s="69" t="s">
        <v>780</v>
      </c>
      <c r="J512" s="69"/>
      <c r="K512" s="69"/>
      <c r="L512" s="69"/>
      <c r="M512" s="69"/>
      <c r="N512" s="69"/>
      <c r="O512" s="70"/>
      <c r="P512" s="10"/>
      <c r="Q512" s="10"/>
      <c r="R512" s="10"/>
      <c r="S512" s="10"/>
      <c r="T512" s="10"/>
      <c r="U512" s="10"/>
      <c r="X512" s="10"/>
    </row>
    <row r="513" spans="1:24" ht="10.5" customHeight="1" thickBot="1" x14ac:dyDescent="0.3">
      <c r="A513" s="1" t="str">
        <f>IF(R513=0,"",COUNTIF(A$23:A512,"&gt;0")+1)</f>
        <v/>
      </c>
      <c r="B513" s="1227" t="s">
        <v>774</v>
      </c>
      <c r="C513" s="1228"/>
      <c r="D513" s="1223"/>
      <c r="E513" s="1224"/>
      <c r="F513" s="1224"/>
      <c r="G513" s="1224"/>
      <c r="H513" s="1224"/>
      <c r="I513" s="73" t="s">
        <v>47</v>
      </c>
      <c r="J513" s="72"/>
      <c r="K513" s="72"/>
      <c r="L513" s="72"/>
      <c r="M513" s="73"/>
      <c r="N513" s="72"/>
      <c r="O513" s="74" t="s">
        <v>48</v>
      </c>
      <c r="P513" s="75" t="s">
        <v>49</v>
      </c>
      <c r="Q513" s="10"/>
      <c r="R513" s="10"/>
      <c r="S513" s="10"/>
      <c r="T513" s="10"/>
      <c r="U513" s="10"/>
      <c r="X513" s="10"/>
    </row>
    <row r="514" spans="1:24" ht="11.25" customHeight="1" x14ac:dyDescent="0.25">
      <c r="A514" s="1" t="str">
        <f>IF(R514=0,"",COUNTIF(A$23:A513,"&gt;0")+1)</f>
        <v/>
      </c>
      <c r="B514" s="76"/>
      <c r="C514" s="77" t="s">
        <v>42</v>
      </c>
      <c r="D514" s="204" t="s">
        <v>52</v>
      </c>
      <c r="E514" s="79"/>
      <c r="F514" s="79"/>
      <c r="G514" s="720" t="s">
        <v>781</v>
      </c>
      <c r="H514" s="206" t="s">
        <v>59</v>
      </c>
      <c r="I514" s="222"/>
      <c r="J514" s="83"/>
      <c r="K514" s="68">
        <f>IF(VLOOKUP(D514,A!A$1:V$767,18,FALSE)="y",1,0)</f>
        <v>1</v>
      </c>
      <c r="L514" s="68">
        <f>IF(VLOOKUP(D514,A!A$1:V$767,19,FALSE)="y",1,0)</f>
        <v>1</v>
      </c>
      <c r="M514" s="85" t="str">
        <f>IF(VLOOKUP(D514,A!A$1:V$767,17,FALSE)="y","NEW","")</f>
        <v/>
      </c>
      <c r="N514" s="83">
        <f>VLOOKUP(D514,A!A$1:V$767,20,FALSE)</f>
        <v>0</v>
      </c>
      <c r="O514" s="86" t="s">
        <v>73</v>
      </c>
      <c r="P514" s="10" t="str">
        <f>VLOOKUP(D514,A!A$1:V$767,16,FALSE)</f>
        <v>y</v>
      </c>
      <c r="Q514" s="10" t="s">
        <v>782</v>
      </c>
      <c r="R514" s="10">
        <f t="shared" ref="R514:R547" si="50">B514</f>
        <v>0</v>
      </c>
      <c r="S514" s="10">
        <f>VLOOKUP(D514,A!A$1:AK$767,33,FALSE)</f>
        <v>45</v>
      </c>
      <c r="T514" s="10">
        <v>8.3000000000000004E-2</v>
      </c>
      <c r="U514" s="10">
        <f t="shared" ref="U514:U547" si="51">T514*B514</f>
        <v>0</v>
      </c>
      <c r="X514" s="10"/>
    </row>
    <row r="515" spans="1:24" ht="11.25" hidden="1" customHeight="1" x14ac:dyDescent="0.25">
      <c r="A515" s="1" t="str">
        <f>IF(R515=0,"",COUNTIF(A$23:A514,"&gt;0")+1)</f>
        <v/>
      </c>
      <c r="B515" s="87"/>
      <c r="C515" s="63" t="s">
        <v>42</v>
      </c>
      <c r="D515" s="64" t="s">
        <v>70</v>
      </c>
      <c r="E515" s="65"/>
      <c r="F515" s="65"/>
      <c r="G515" s="97" t="s">
        <v>783</v>
      </c>
      <c r="H515" s="66" t="s">
        <v>72</v>
      </c>
      <c r="I515" s="67">
        <f>VLOOKUP(D515,A!A$1:V$767,22,FALSE)</f>
        <v>0</v>
      </c>
      <c r="J515" s="67"/>
      <c r="K515" s="68">
        <f>IF(VLOOKUP(D515,A!A$1:O$767,11,FALSE)="y",1,0)</f>
        <v>0</v>
      </c>
      <c r="L515" s="68">
        <f>IF(VLOOKUP(D515,A!A$1:O$767,12,FALSE)="y",1,0)</f>
        <v>0</v>
      </c>
      <c r="M515" s="149" t="str">
        <f>IF(VLOOKUP(D515,A!A$1:V$767,17,FALSE)="y","NEW","")</f>
        <v/>
      </c>
      <c r="N515" s="150">
        <f>VLOOKUP(D515,A!A$1:V$767,20,FALSE)</f>
        <v>0</v>
      </c>
      <c r="O515" s="93" t="s">
        <v>73</v>
      </c>
      <c r="P515" s="10">
        <f>VLOOKUP(D515,A!A$1:V$767,16,FALSE)</f>
        <v>0</v>
      </c>
      <c r="Q515" s="10" t="s">
        <v>782</v>
      </c>
      <c r="R515" s="10">
        <f t="shared" si="50"/>
        <v>0</v>
      </c>
      <c r="S515" s="10" t="str">
        <f>VLOOKUP(D515,A!A$1:AK$767,33,FALSE)</f>
        <v/>
      </c>
      <c r="T515" s="10">
        <v>8.3000000000000004E-2</v>
      </c>
      <c r="U515" s="10">
        <f t="shared" si="51"/>
        <v>0</v>
      </c>
      <c r="X515" s="10"/>
    </row>
    <row r="516" spans="1:24" ht="11.25" hidden="1" customHeight="1" x14ac:dyDescent="0.25">
      <c r="A516" s="1" t="str">
        <f>IF(R516=0,"",COUNTIF(A$23:A515,"&gt;0")+1)</f>
        <v/>
      </c>
      <c r="B516" s="87"/>
      <c r="C516" s="63" t="s">
        <v>42</v>
      </c>
      <c r="D516" s="64" t="s">
        <v>784</v>
      </c>
      <c r="E516" s="65"/>
      <c r="F516" s="65"/>
      <c r="G516" s="97" t="s">
        <v>75</v>
      </c>
      <c r="H516" s="66" t="s">
        <v>76</v>
      </c>
      <c r="I516" s="67">
        <f>VLOOKUP(D516,A!A$1:V$767,22,FALSE)</f>
        <v>1</v>
      </c>
      <c r="J516" s="67"/>
      <c r="K516" s="68">
        <f>IF(VLOOKUP(D516,A!A$1:O$767,11,FALSE)="y",1,0)</f>
        <v>1</v>
      </c>
      <c r="L516" s="68">
        <f>IF(VLOOKUP(D516,A!A$1:O$767,12,FALSE)="y",1,0)</f>
        <v>1</v>
      </c>
      <c r="M516" s="149"/>
      <c r="N516" s="150">
        <f>VLOOKUP(D516,A!A$1:V$767,20,FALSE)</f>
        <v>0</v>
      </c>
      <c r="O516" s="93" t="s">
        <v>73</v>
      </c>
      <c r="P516" s="10">
        <f>VLOOKUP(D516,A!A$1:V$767,16,FALSE)</f>
        <v>0</v>
      </c>
      <c r="Q516" s="10" t="s">
        <v>782</v>
      </c>
      <c r="R516" s="10">
        <f t="shared" si="50"/>
        <v>0</v>
      </c>
      <c r="S516" s="10">
        <v>45</v>
      </c>
      <c r="T516" s="10">
        <v>8.3000000000000004E-2</v>
      </c>
      <c r="U516" s="10">
        <f t="shared" si="51"/>
        <v>0</v>
      </c>
      <c r="X516" s="10"/>
    </row>
    <row r="517" spans="1:24" ht="12" hidden="1" customHeight="1" x14ac:dyDescent="0.25">
      <c r="A517" s="1" t="str">
        <f>IF(R517=0,"",COUNTIF(A$23:A516,"&gt;0")+1)</f>
        <v/>
      </c>
      <c r="B517" s="87"/>
      <c r="C517" s="63" t="s">
        <v>42</v>
      </c>
      <c r="D517" s="64" t="s">
        <v>77</v>
      </c>
      <c r="E517" s="65"/>
      <c r="F517" s="65"/>
      <c r="G517" s="97" t="s">
        <v>78</v>
      </c>
      <c r="H517" s="66" t="s">
        <v>79</v>
      </c>
      <c r="I517" s="67">
        <f>VLOOKUP(D517,A!A$1:V$767,22,FALSE)</f>
        <v>0</v>
      </c>
      <c r="J517" s="67"/>
      <c r="K517" s="68">
        <f>IF(VLOOKUP(D517,A!A$1:O$767,11,FALSE)="y",1,0)</f>
        <v>0</v>
      </c>
      <c r="L517" s="68">
        <f>IF(VLOOKUP(D517,A!A$1:O$767,12,FALSE)="y",1,0)</f>
        <v>0</v>
      </c>
      <c r="M517" s="149" t="str">
        <f>IF(VLOOKUP(D517,A!A$1:V$767,17,FALSE)="y","NEW","")</f>
        <v/>
      </c>
      <c r="N517" s="150">
        <f>VLOOKUP(D517,A!A$1:V$767,20,FALSE)</f>
        <v>0</v>
      </c>
      <c r="O517" s="93" t="s">
        <v>73</v>
      </c>
      <c r="P517" s="10">
        <f>VLOOKUP(D517,A!A$1:V$767,16,FALSE)</f>
        <v>0</v>
      </c>
      <c r="Q517" s="10" t="s">
        <v>782</v>
      </c>
      <c r="R517" s="10">
        <f t="shared" si="50"/>
        <v>0</v>
      </c>
      <c r="S517" s="10" t="str">
        <f>VLOOKUP(D517,A!A$1:AK$767,33,FALSE)</f>
        <v/>
      </c>
      <c r="T517" s="10">
        <v>8.3000000000000004E-2</v>
      </c>
      <c r="U517" s="10">
        <f t="shared" si="51"/>
        <v>0</v>
      </c>
      <c r="X517" s="10"/>
    </row>
    <row r="518" spans="1:24" ht="11.25" hidden="1" customHeight="1" x14ac:dyDescent="0.25">
      <c r="A518" s="1" t="str">
        <f>IF(R518=0,"",COUNTIF(A$23:A517,"&gt;0")+1)</f>
        <v/>
      </c>
      <c r="B518" s="87"/>
      <c r="C518" s="63" t="s">
        <v>42</v>
      </c>
      <c r="D518" s="64" t="s">
        <v>104</v>
      </c>
      <c r="E518" s="65"/>
      <c r="F518" s="65"/>
      <c r="G518" s="97" t="s">
        <v>105</v>
      </c>
      <c r="H518" s="66" t="s">
        <v>106</v>
      </c>
      <c r="I518" s="67">
        <f>VLOOKUP(D518,A!A$1:V$767,22,FALSE)</f>
        <v>1</v>
      </c>
      <c r="J518" s="67" t="s">
        <v>63</v>
      </c>
      <c r="K518" s="68">
        <f>IF(VLOOKUP(D518,A!A$1:O$767,11,FALSE)="y",1,0)</f>
        <v>0</v>
      </c>
      <c r="L518" s="68">
        <f>IF(VLOOKUP(D518,A!A$1:O$767,12,FALSE)="y",1,0)</f>
        <v>0</v>
      </c>
      <c r="M518" s="149" t="str">
        <f>IF(VLOOKUP(D518,A!A$1:V$767,17,FALSE)="y","NEW","")</f>
        <v/>
      </c>
      <c r="N518" s="150">
        <f>VLOOKUP(D518,A!A$1:V$767,20,FALSE)</f>
        <v>0</v>
      </c>
      <c r="O518" s="93" t="s">
        <v>65</v>
      </c>
      <c r="P518" s="10">
        <f>VLOOKUP(D518,A!A$1:V$767,16,FALSE)</f>
        <v>0</v>
      </c>
      <c r="Q518" s="10" t="s">
        <v>782</v>
      </c>
      <c r="R518" s="10">
        <f t="shared" si="50"/>
        <v>0</v>
      </c>
      <c r="S518" s="10">
        <f>VLOOKUP(D518,A!A$1:AK$767,33,FALSE)</f>
        <v>60</v>
      </c>
      <c r="T518" s="10">
        <v>8.3000000000000004E-2</v>
      </c>
      <c r="U518" s="10">
        <f t="shared" si="51"/>
        <v>0</v>
      </c>
      <c r="X518" s="10"/>
    </row>
    <row r="519" spans="1:24" ht="11.25" hidden="1" customHeight="1" x14ac:dyDescent="0.25">
      <c r="A519" s="1" t="str">
        <f>IF(R519=0,"",COUNTIF(A$23:A518,"&gt;0")+1)</f>
        <v/>
      </c>
      <c r="B519" s="87"/>
      <c r="C519" s="63" t="s">
        <v>42</v>
      </c>
      <c r="D519" s="64" t="s">
        <v>110</v>
      </c>
      <c r="E519" s="65"/>
      <c r="F519" s="65"/>
      <c r="G519" s="97" t="s">
        <v>111</v>
      </c>
      <c r="H519" s="66" t="s">
        <v>112</v>
      </c>
      <c r="I519" s="67">
        <f>VLOOKUP(D519,A!A$1:V$767,22,FALSE)</f>
        <v>1</v>
      </c>
      <c r="J519" s="67" t="s">
        <v>63</v>
      </c>
      <c r="K519" s="68">
        <f>IF(VLOOKUP(D519,A!A$1:O$767,11,FALSE)="y",1,0)</f>
        <v>0</v>
      </c>
      <c r="L519" s="68">
        <f>IF(VLOOKUP(D519,A!A$1:O$767,12,FALSE)="y",1,0)</f>
        <v>0</v>
      </c>
      <c r="M519" s="149"/>
      <c r="N519" s="150">
        <f>VLOOKUP(D519,A!A$1:V$767,20,FALSE)</f>
        <v>0</v>
      </c>
      <c r="O519" s="93" t="s">
        <v>73</v>
      </c>
      <c r="P519" s="10">
        <f>VLOOKUP(D519,A!A$1:V$767,16,FALSE)</f>
        <v>0</v>
      </c>
      <c r="Q519" s="10" t="s">
        <v>782</v>
      </c>
      <c r="R519" s="10">
        <f t="shared" si="50"/>
        <v>0</v>
      </c>
      <c r="S519" s="10">
        <f>VLOOKUP(D519,A!A$1:AK$767,33,FALSE)</f>
        <v>30</v>
      </c>
      <c r="T519" s="10">
        <v>8.3000000000000004E-2</v>
      </c>
      <c r="U519" s="10">
        <f t="shared" si="51"/>
        <v>0</v>
      </c>
      <c r="X519" s="10"/>
    </row>
    <row r="520" spans="1:24" ht="11.25" hidden="1" customHeight="1" x14ac:dyDescent="0.25">
      <c r="A520" s="1" t="str">
        <f>IF(R520=0,"",COUNTIF(A$23:A519,"&gt;0")+1)</f>
        <v/>
      </c>
      <c r="B520" s="87"/>
      <c r="C520" s="63" t="s">
        <v>42</v>
      </c>
      <c r="D520" s="64" t="s">
        <v>116</v>
      </c>
      <c r="E520" s="65"/>
      <c r="F520" s="65"/>
      <c r="G520" s="97" t="s">
        <v>117</v>
      </c>
      <c r="H520" s="66" t="s">
        <v>118</v>
      </c>
      <c r="I520" s="67">
        <f>VLOOKUP(D520,A!A$1:V$767,22,FALSE)</f>
        <v>0</v>
      </c>
      <c r="J520" s="67"/>
      <c r="K520" s="68">
        <f>IF(VLOOKUP(D520,A!A$1:O$767,11,FALSE)="y",1,0)</f>
        <v>0</v>
      </c>
      <c r="L520" s="68">
        <f>IF(VLOOKUP(D520,A!A$1:O$767,12,FALSE)="y",1,0)</f>
        <v>0</v>
      </c>
      <c r="M520" s="149"/>
      <c r="N520" s="150">
        <f>VLOOKUP(D520,A!A$1:V$767,20,FALSE)</f>
        <v>0</v>
      </c>
      <c r="O520" s="93" t="s">
        <v>73</v>
      </c>
      <c r="P520" s="10">
        <f>VLOOKUP(D520,A!A$1:V$767,16,FALSE)</f>
        <v>0</v>
      </c>
      <c r="Q520" s="10" t="s">
        <v>782</v>
      </c>
      <c r="R520" s="10">
        <f t="shared" si="50"/>
        <v>0</v>
      </c>
      <c r="S520" s="10" t="str">
        <f>VLOOKUP(D520,A!A$1:AK$767,33,FALSE)</f>
        <v/>
      </c>
      <c r="T520" s="10">
        <v>8.3000000000000004E-2</v>
      </c>
      <c r="U520" s="10">
        <f t="shared" si="51"/>
        <v>0</v>
      </c>
      <c r="X520" s="10"/>
    </row>
    <row r="521" spans="1:24" ht="11.25" hidden="1" customHeight="1" x14ac:dyDescent="0.25">
      <c r="A521" s="1" t="str">
        <f>IF(R521=0,"",COUNTIF(A$23:A520,"&gt;0")+1)</f>
        <v/>
      </c>
      <c r="B521" s="87"/>
      <c r="C521" s="63" t="s">
        <v>42</v>
      </c>
      <c r="D521" s="64" t="s">
        <v>119</v>
      </c>
      <c r="E521" s="65"/>
      <c r="F521" s="65"/>
      <c r="G521" s="97" t="s">
        <v>120</v>
      </c>
      <c r="H521" s="66" t="s">
        <v>121</v>
      </c>
      <c r="I521" s="67">
        <f>VLOOKUP(D521,A!A$1:V$767,22,FALSE)</f>
        <v>0</v>
      </c>
      <c r="J521" s="67"/>
      <c r="K521" s="68">
        <f>IF(VLOOKUP(D521,A!A$1:O$767,11,FALSE)="y",1,0)</f>
        <v>0</v>
      </c>
      <c r="L521" s="68">
        <f>IF(VLOOKUP(D521,A!A$1:O$767,12,FALSE)="y",1,0)</f>
        <v>0</v>
      </c>
      <c r="M521" s="149"/>
      <c r="N521" s="150">
        <f>VLOOKUP(D521,A!A$1:V$767,20,FALSE)</f>
        <v>0</v>
      </c>
      <c r="O521" s="93" t="s">
        <v>73</v>
      </c>
      <c r="P521" s="10">
        <f>VLOOKUP(D521,A!A$1:V$767,16,FALSE)</f>
        <v>0</v>
      </c>
      <c r="Q521" s="10" t="s">
        <v>782</v>
      </c>
      <c r="R521" s="10">
        <f t="shared" si="50"/>
        <v>0</v>
      </c>
      <c r="S521" s="10" t="str">
        <f>VLOOKUP(D521,A!A$1:AK$767,33,FALSE)</f>
        <v/>
      </c>
      <c r="T521" s="10">
        <v>8.3000000000000004E-2</v>
      </c>
      <c r="U521" s="10">
        <f t="shared" si="51"/>
        <v>0</v>
      </c>
      <c r="X521" s="10"/>
    </row>
    <row r="522" spans="1:24" ht="11.25" hidden="1" customHeight="1" x14ac:dyDescent="0.25">
      <c r="A522" s="1" t="str">
        <f>IF(R522=0,"",COUNTIF(A$23:A521,"&gt;0")+1)</f>
        <v/>
      </c>
      <c r="B522" s="87"/>
      <c r="C522" s="63" t="s">
        <v>42</v>
      </c>
      <c r="D522" s="64" t="s">
        <v>1411</v>
      </c>
      <c r="E522" s="65"/>
      <c r="F522" s="65"/>
      <c r="G522" s="97" t="s">
        <v>122</v>
      </c>
      <c r="H522" s="66" t="s">
        <v>628</v>
      </c>
      <c r="I522" s="67">
        <f>VLOOKUP(D522,A!A$1:V$767,22,FALSE)</f>
        <v>1</v>
      </c>
      <c r="J522" s="67"/>
      <c r="K522" s="68">
        <f>IF(VLOOKUP(D522,A!A$1:V$767,18,FALSE)="y",1,0)</f>
        <v>0</v>
      </c>
      <c r="L522" s="68">
        <f>IF(VLOOKUP(D522,A!A$1:V$767,19,FALSE)="y",1,0)</f>
        <v>0</v>
      </c>
      <c r="M522" s="149"/>
      <c r="N522" s="150">
        <f>VLOOKUP(D522,A!A$1:V$767,20,FALSE)</f>
        <v>0</v>
      </c>
      <c r="O522" s="93">
        <v>1</v>
      </c>
      <c r="P522" s="10">
        <f>VLOOKUP(D522,A!A$1:V$767,16,FALSE)</f>
        <v>0</v>
      </c>
      <c r="Q522" s="10" t="s">
        <v>782</v>
      </c>
      <c r="R522" s="10">
        <f t="shared" si="50"/>
        <v>0</v>
      </c>
      <c r="S522" s="10">
        <f>VLOOKUP(D522,A!A$1:AK$767,33,FALSE)</f>
        <v>60</v>
      </c>
      <c r="T522" s="10">
        <v>8.3000000000000004E-2</v>
      </c>
      <c r="U522" s="10">
        <f t="shared" si="51"/>
        <v>0</v>
      </c>
      <c r="X522" s="10"/>
    </row>
    <row r="523" spans="1:24" ht="11.25" hidden="1" customHeight="1" x14ac:dyDescent="0.25">
      <c r="A523" s="1" t="str">
        <f>IF(R523=0,"",COUNTIF(A$23:A522,"&gt;0")+1)</f>
        <v/>
      </c>
      <c r="B523" s="87"/>
      <c r="C523" s="63" t="s">
        <v>42</v>
      </c>
      <c r="D523" s="64" t="s">
        <v>632</v>
      </c>
      <c r="E523" s="65"/>
      <c r="F523" s="65"/>
      <c r="G523" s="97" t="s">
        <v>122</v>
      </c>
      <c r="H523" s="66" t="s">
        <v>633</v>
      </c>
      <c r="I523" s="67">
        <f>VLOOKUP(D523,A!A$1:V$767,22,FALSE)</f>
        <v>1</v>
      </c>
      <c r="J523" s="67"/>
      <c r="K523" s="68">
        <f>IF(VLOOKUP(D523,A!A$1:V$767,18,FALSE)="y",1,0)</f>
        <v>0</v>
      </c>
      <c r="L523" s="68">
        <f>IF(VLOOKUP(D523,A!A$1:V$767,19,FALSE)="y",1,0)</f>
        <v>0</v>
      </c>
      <c r="M523" s="149"/>
      <c r="N523" s="150">
        <f>VLOOKUP(D523,A!A$1:V$767,20,FALSE)</f>
        <v>0</v>
      </c>
      <c r="O523" s="93">
        <v>1</v>
      </c>
      <c r="P523" s="10">
        <f>VLOOKUP(D523,A!A$1:V$767,16,FALSE)</f>
        <v>0</v>
      </c>
      <c r="Q523" s="10" t="s">
        <v>782</v>
      </c>
      <c r="R523" s="10">
        <f t="shared" si="50"/>
        <v>0</v>
      </c>
      <c r="S523" s="10">
        <f>VLOOKUP(D523,A!A$1:AK$767,33,FALSE)</f>
        <v>60</v>
      </c>
      <c r="T523" s="10">
        <v>8.3000000000000004E-2</v>
      </c>
      <c r="U523" s="10">
        <f t="shared" si="51"/>
        <v>0</v>
      </c>
      <c r="X523" s="10"/>
    </row>
    <row r="524" spans="1:24" ht="11.25" hidden="1" customHeight="1" x14ac:dyDescent="0.25">
      <c r="A524" s="1" t="str">
        <f>IF(R524=0,"",COUNTIF(A$23:A523,"&gt;0")+1)</f>
        <v/>
      </c>
      <c r="B524" s="87"/>
      <c r="C524" s="63" t="s">
        <v>42</v>
      </c>
      <c r="D524" s="64" t="s">
        <v>634</v>
      </c>
      <c r="E524" s="65"/>
      <c r="F524" s="65"/>
      <c r="G524" s="97" t="s">
        <v>122</v>
      </c>
      <c r="H524" s="66" t="s">
        <v>635</v>
      </c>
      <c r="I524" s="67">
        <f>VLOOKUP(D524,A!A$1:V$767,22,FALSE)</f>
        <v>1</v>
      </c>
      <c r="J524" s="67"/>
      <c r="K524" s="68">
        <f>IF(VLOOKUP(D524,A!A$1:V$767,18,FALSE)="y",1,0)</f>
        <v>0</v>
      </c>
      <c r="L524" s="68">
        <f>IF(VLOOKUP(D524,A!A$1:V$767,19,FALSE)="y",1,0)</f>
        <v>0</v>
      </c>
      <c r="M524" s="149"/>
      <c r="N524" s="150">
        <f>VLOOKUP(D524,A!A$1:V$767,20,FALSE)</f>
        <v>0</v>
      </c>
      <c r="O524" s="93">
        <v>1</v>
      </c>
      <c r="P524" s="10">
        <f>VLOOKUP(D524,A!A$1:V$767,16,FALSE)</f>
        <v>0</v>
      </c>
      <c r="Q524" s="10" t="s">
        <v>782</v>
      </c>
      <c r="R524" s="10">
        <f t="shared" si="50"/>
        <v>0</v>
      </c>
      <c r="S524" s="10">
        <f>VLOOKUP(D524,A!A$1:AK$767,33,FALSE)</f>
        <v>60</v>
      </c>
      <c r="T524" s="10">
        <v>8.3000000000000004E-2</v>
      </c>
      <c r="U524" s="10">
        <f t="shared" si="51"/>
        <v>0</v>
      </c>
      <c r="X524" s="10"/>
    </row>
    <row r="525" spans="1:24" ht="11.25" hidden="1" customHeight="1" x14ac:dyDescent="0.25">
      <c r="A525" s="1" t="str">
        <f>IF(R525=0,"",COUNTIF(A$23:A524,"&gt;0")+1)</f>
        <v/>
      </c>
      <c r="B525" s="87"/>
      <c r="C525" s="63" t="s">
        <v>42</v>
      </c>
      <c r="D525" s="64" t="s">
        <v>124</v>
      </c>
      <c r="E525" s="65"/>
      <c r="F525" s="65"/>
      <c r="G525" s="97" t="s">
        <v>122</v>
      </c>
      <c r="H525" s="66" t="s">
        <v>125</v>
      </c>
      <c r="I525" s="67">
        <f>VLOOKUP(D525,A!A$1:V$767,22,FALSE)</f>
        <v>0</v>
      </c>
      <c r="J525" s="67"/>
      <c r="K525" s="68">
        <f>IF(VLOOKUP(D525,A!A$1:V$767,18,FALSE)="y",1,0)</f>
        <v>0</v>
      </c>
      <c r="L525" s="68">
        <f>IF(VLOOKUP(D525,A!A$1:V$767,19,FALSE)="y",1,0)</f>
        <v>0</v>
      </c>
      <c r="M525" s="149"/>
      <c r="N525" s="150">
        <f>VLOOKUP(D525,A!A$1:V$767,20,FALSE)</f>
        <v>0</v>
      </c>
      <c r="O525" s="93">
        <v>1</v>
      </c>
      <c r="P525" s="10">
        <f>VLOOKUP(D525,A!A$1:V$767,16,FALSE)</f>
        <v>0</v>
      </c>
      <c r="Q525" s="10" t="s">
        <v>782</v>
      </c>
      <c r="R525" s="10">
        <f t="shared" si="50"/>
        <v>0</v>
      </c>
      <c r="S525" s="10" t="str">
        <f>VLOOKUP(D525,A!A$1:AK$767,33,FALSE)</f>
        <v/>
      </c>
      <c r="T525" s="10">
        <v>8.3000000000000004E-2</v>
      </c>
      <c r="U525" s="10">
        <f t="shared" si="51"/>
        <v>0</v>
      </c>
      <c r="X525" s="10"/>
    </row>
    <row r="526" spans="1:24" ht="11.25" hidden="1" customHeight="1" x14ac:dyDescent="0.25">
      <c r="A526" s="1" t="str">
        <f>IF(R526=0,"",COUNTIF(A$23:A525,"&gt;0")+1)</f>
        <v/>
      </c>
      <c r="B526" s="87"/>
      <c r="C526" s="63" t="s">
        <v>42</v>
      </c>
      <c r="D526" s="64" t="s">
        <v>636</v>
      </c>
      <c r="E526" s="65"/>
      <c r="F526" s="65"/>
      <c r="G526" s="97" t="s">
        <v>122</v>
      </c>
      <c r="H526" s="66" t="s">
        <v>637</v>
      </c>
      <c r="I526" s="67">
        <f>VLOOKUP(D526,A!A$1:V$767,22,FALSE)</f>
        <v>0</v>
      </c>
      <c r="J526" s="67"/>
      <c r="K526" s="68">
        <f>IF(VLOOKUP(D526,A!A$1:V$767,18,FALSE)="y",1,0)</f>
        <v>0</v>
      </c>
      <c r="L526" s="68">
        <f>IF(VLOOKUP(D526,A!A$1:V$767,19,FALSE)="y",1,0)</f>
        <v>0</v>
      </c>
      <c r="M526" s="149"/>
      <c r="N526" s="150">
        <f>VLOOKUP(D526,A!A$1:V$767,20,FALSE)</f>
        <v>0</v>
      </c>
      <c r="O526" s="93">
        <v>1</v>
      </c>
      <c r="P526" s="10">
        <f>VLOOKUP(D526,A!A$1:V$767,16,FALSE)</f>
        <v>0</v>
      </c>
      <c r="Q526" s="10" t="s">
        <v>782</v>
      </c>
      <c r="R526" s="10">
        <f t="shared" si="50"/>
        <v>0</v>
      </c>
      <c r="S526" s="10" t="str">
        <f>VLOOKUP(D526,A!A$1:AK$767,33,FALSE)</f>
        <v/>
      </c>
      <c r="T526" s="10">
        <v>8.3000000000000004E-2</v>
      </c>
      <c r="U526" s="10">
        <f t="shared" si="51"/>
        <v>0</v>
      </c>
      <c r="X526" s="10"/>
    </row>
    <row r="527" spans="1:24" ht="11.25" hidden="1" customHeight="1" x14ac:dyDescent="0.25">
      <c r="A527" s="1" t="str">
        <f>IF(R527=0,"",COUNTIF(A$23:A526,"&gt;0")+1)</f>
        <v/>
      </c>
      <c r="B527" s="87"/>
      <c r="C527" s="63" t="s">
        <v>42</v>
      </c>
      <c r="D527" s="64" t="s">
        <v>126</v>
      </c>
      <c r="E527" s="65"/>
      <c r="F527" s="65"/>
      <c r="G527" s="97" t="s">
        <v>122</v>
      </c>
      <c r="H527" s="66" t="s">
        <v>127</v>
      </c>
      <c r="I527" s="67">
        <f>VLOOKUP(D527,A!A$1:V$767,22,FALSE)</f>
        <v>0</v>
      </c>
      <c r="J527" s="67"/>
      <c r="K527" s="68">
        <f>IF(VLOOKUP(D527,A!A$1:V$767,18,FALSE)="y",1,0)</f>
        <v>0</v>
      </c>
      <c r="L527" s="68">
        <f>IF(VLOOKUP(D527,A!A$1:V$767,19,FALSE)="y",1,0)</f>
        <v>0</v>
      </c>
      <c r="M527" s="149"/>
      <c r="N527" s="150">
        <f>VLOOKUP(D527,A!A$1:V$767,20,FALSE)</f>
        <v>0</v>
      </c>
      <c r="O527" s="93">
        <v>1</v>
      </c>
      <c r="P527" s="10">
        <f>VLOOKUP(D527,A!A$1:V$767,16,FALSE)</f>
        <v>0</v>
      </c>
      <c r="Q527" s="10" t="s">
        <v>782</v>
      </c>
      <c r="R527" s="10">
        <f t="shared" si="50"/>
        <v>0</v>
      </c>
      <c r="S527" s="10" t="str">
        <f>VLOOKUP(D527,A!A$1:AK$767,33,FALSE)</f>
        <v/>
      </c>
      <c r="T527" s="10">
        <v>8.3000000000000004E-2</v>
      </c>
      <c r="U527" s="10">
        <f t="shared" si="51"/>
        <v>0</v>
      </c>
      <c r="X527" s="10"/>
    </row>
    <row r="528" spans="1:24" ht="11.25" hidden="1" customHeight="1" x14ac:dyDescent="0.25">
      <c r="A528" s="1" t="str">
        <f>IF(R528=0,"",COUNTIF(A$23:A527,"&gt;0")+1)</f>
        <v/>
      </c>
      <c r="B528" s="87"/>
      <c r="C528" s="63" t="s">
        <v>42</v>
      </c>
      <c r="D528" s="64" t="s">
        <v>638</v>
      </c>
      <c r="E528" s="65"/>
      <c r="F528" s="65"/>
      <c r="G528" s="97" t="s">
        <v>122</v>
      </c>
      <c r="H528" s="66" t="s">
        <v>639</v>
      </c>
      <c r="I528" s="67">
        <f>VLOOKUP(D528,A!A$1:V$767,22,FALSE)</f>
        <v>1</v>
      </c>
      <c r="J528" s="67"/>
      <c r="K528" s="68">
        <f>IF(VLOOKUP(D528,A!A$1:V$767,18,FALSE)="y",1,0)</f>
        <v>0</v>
      </c>
      <c r="L528" s="68">
        <f>IF(VLOOKUP(D528,A!A$1:V$767,19,FALSE)="y",1,0)</f>
        <v>0</v>
      </c>
      <c r="M528" s="149"/>
      <c r="N528" s="150">
        <f>VLOOKUP(D528,A!A$1:V$767,20,FALSE)</f>
        <v>0</v>
      </c>
      <c r="O528" s="93">
        <v>1</v>
      </c>
      <c r="P528" s="10">
        <f>VLOOKUP(D528,A!A$1:V$767,16,FALSE)</f>
        <v>0</v>
      </c>
      <c r="Q528" s="10" t="s">
        <v>782</v>
      </c>
      <c r="R528" s="10">
        <f t="shared" si="50"/>
        <v>0</v>
      </c>
      <c r="S528" s="10">
        <f>VLOOKUP(D528,A!A$1:AK$767,33,FALSE)</f>
        <v>60</v>
      </c>
      <c r="T528" s="10">
        <v>8.3000000000000004E-2</v>
      </c>
      <c r="U528" s="10">
        <f t="shared" si="51"/>
        <v>0</v>
      </c>
      <c r="X528" s="10"/>
    </row>
    <row r="529" spans="1:24" ht="11.25" hidden="1" customHeight="1" x14ac:dyDescent="0.25">
      <c r="A529" s="1" t="str">
        <f>IF(R529=0,"",COUNTIF(A$23:A528,"&gt;0")+1)</f>
        <v/>
      </c>
      <c r="B529" s="87"/>
      <c r="C529" s="63" t="s">
        <v>42</v>
      </c>
      <c r="D529" s="64" t="s">
        <v>785</v>
      </c>
      <c r="E529" s="65"/>
      <c r="F529" s="65"/>
      <c r="G529" s="97" t="s">
        <v>138</v>
      </c>
      <c r="H529" s="66" t="s">
        <v>139</v>
      </c>
      <c r="I529" s="67">
        <f>VLOOKUP(D529,A!A$1:V$767,22,FALSE)</f>
        <v>0</v>
      </c>
      <c r="J529" s="67"/>
      <c r="K529" s="68">
        <f>IF(VLOOKUP(D529,A!A$1:V$767,18,FALSE)="y",1,0)</f>
        <v>0</v>
      </c>
      <c r="L529" s="68">
        <f>IF(VLOOKUP(D529,A!A$1:V$767,19,FALSE)="y",1,0)</f>
        <v>0</v>
      </c>
      <c r="M529" s="149"/>
      <c r="N529" s="150">
        <f>VLOOKUP(D529,A!A$1:V$767,20,FALSE)</f>
        <v>0</v>
      </c>
      <c r="O529" s="93" t="s">
        <v>73</v>
      </c>
      <c r="P529" s="10">
        <f>VLOOKUP(D529,A!A$1:V$767,16,FALSE)</f>
        <v>0</v>
      </c>
      <c r="Q529" s="10" t="s">
        <v>782</v>
      </c>
      <c r="R529" s="10">
        <f t="shared" si="50"/>
        <v>0</v>
      </c>
      <c r="S529" s="10" t="str">
        <f>VLOOKUP(D529,A!A$1:AK$767,33,FALSE)</f>
        <v/>
      </c>
      <c r="T529" s="10">
        <v>8.3000000000000004E-2</v>
      </c>
      <c r="U529" s="10">
        <f t="shared" si="51"/>
        <v>0</v>
      </c>
      <c r="X529" s="10"/>
    </row>
    <row r="530" spans="1:24" ht="11.25" hidden="1" customHeight="1" x14ac:dyDescent="0.25">
      <c r="A530" s="1" t="str">
        <f>IF(R530=0,"",COUNTIF(A$23:A529,"&gt;0")+1)</f>
        <v/>
      </c>
      <c r="B530" s="87"/>
      <c r="C530" s="63" t="s">
        <v>42</v>
      </c>
      <c r="D530" s="64" t="s">
        <v>143</v>
      </c>
      <c r="E530" s="65"/>
      <c r="F530" s="65"/>
      <c r="G530" s="97" t="s">
        <v>144</v>
      </c>
      <c r="H530" s="66" t="s">
        <v>145</v>
      </c>
      <c r="I530" s="67">
        <f>VLOOKUP(D530,A!A$1:V$767,22,FALSE)</f>
        <v>1</v>
      </c>
      <c r="J530" s="67"/>
      <c r="K530" s="68">
        <f>IF(VLOOKUP(D530,A!A$1:V$767,18,FALSE)="y",1,0)</f>
        <v>0</v>
      </c>
      <c r="L530" s="68">
        <f>IF(VLOOKUP(D530,A!A$1:V$767,19,FALSE)="y",1,0)</f>
        <v>0</v>
      </c>
      <c r="M530" s="149"/>
      <c r="N530" s="150">
        <f>VLOOKUP(D530,A!A$1:V$767,20,FALSE)</f>
        <v>0</v>
      </c>
      <c r="O530" s="93" t="s">
        <v>73</v>
      </c>
      <c r="P530" s="10">
        <f>VLOOKUP(D530,A!A$1:V$767,16,FALSE)</f>
        <v>0</v>
      </c>
      <c r="Q530" s="10" t="s">
        <v>782</v>
      </c>
      <c r="R530" s="10">
        <f t="shared" si="50"/>
        <v>0</v>
      </c>
      <c r="S530" s="10">
        <f>VLOOKUP(D530,A!A$1:AK$767,33,FALSE)</f>
        <v>30</v>
      </c>
      <c r="T530" s="10">
        <v>8.3000000000000004E-2</v>
      </c>
      <c r="U530" s="10">
        <f t="shared" si="51"/>
        <v>0</v>
      </c>
      <c r="X530" s="10"/>
    </row>
    <row r="531" spans="1:24" ht="11.25" hidden="1" customHeight="1" x14ac:dyDescent="0.25">
      <c r="A531" s="1" t="str">
        <f>IF(R531=0,"",COUNTIF(A$23:A530,"&gt;0")+1)</f>
        <v/>
      </c>
      <c r="B531" s="87"/>
      <c r="C531" s="63" t="s">
        <v>42</v>
      </c>
      <c r="D531" s="64" t="s">
        <v>146</v>
      </c>
      <c r="E531" s="65"/>
      <c r="F531" s="65"/>
      <c r="G531" s="97" t="s">
        <v>147</v>
      </c>
      <c r="H531" s="66" t="s">
        <v>148</v>
      </c>
      <c r="I531" s="67">
        <f>VLOOKUP(D531,A!A$1:V$767,22,FALSE)</f>
        <v>0</v>
      </c>
      <c r="J531" s="67"/>
      <c r="K531" s="68">
        <f>IF(VLOOKUP(D531,A!A$1:V$767,18,FALSE)="y",1,0)</f>
        <v>0</v>
      </c>
      <c r="L531" s="68">
        <f>IF(VLOOKUP(D531,A!A$1:V$767,19,FALSE)="y",1,0)</f>
        <v>0</v>
      </c>
      <c r="M531" s="149"/>
      <c r="N531" s="150">
        <f>VLOOKUP(D531,A!A$1:V$767,20,FALSE)</f>
        <v>0</v>
      </c>
      <c r="O531" s="93" t="s">
        <v>65</v>
      </c>
      <c r="P531" s="10">
        <f>VLOOKUP(D531,A!A$1:V$767,16,FALSE)</f>
        <v>0</v>
      </c>
      <c r="Q531" s="10" t="s">
        <v>782</v>
      </c>
      <c r="R531" s="10">
        <f t="shared" si="50"/>
        <v>0</v>
      </c>
      <c r="S531" s="10" t="str">
        <f>VLOOKUP(D531,A!A$1:AK$767,33,FALSE)</f>
        <v/>
      </c>
      <c r="T531" s="10">
        <v>8.3000000000000004E-2</v>
      </c>
      <c r="U531" s="10">
        <f t="shared" si="51"/>
        <v>0</v>
      </c>
      <c r="X531" s="10"/>
    </row>
    <row r="532" spans="1:24" ht="11.25" customHeight="1" x14ac:dyDescent="0.25">
      <c r="A532" s="1" t="str">
        <f>IF(R532=0,"",COUNTIF(A$23:A531,"&gt;0")+1)</f>
        <v/>
      </c>
      <c r="B532" s="87"/>
      <c r="C532" s="63" t="s">
        <v>42</v>
      </c>
      <c r="D532" s="64" t="s">
        <v>155</v>
      </c>
      <c r="F532" s="223"/>
      <c r="G532" s="97" t="s">
        <v>156</v>
      </c>
      <c r="H532" s="66" t="s">
        <v>157</v>
      </c>
      <c r="I532" s="67">
        <f>VLOOKUP(D532,A!A$1:V$767,22,FALSE)</f>
        <v>1</v>
      </c>
      <c r="J532" s="67"/>
      <c r="K532" s="68">
        <f>IF(VLOOKUP(D532,A!A$1:V$767,18,FALSE)="y",1,0)</f>
        <v>1</v>
      </c>
      <c r="L532" s="68">
        <f>IF(VLOOKUP(D532,A!A$1:V$767,19,FALSE)="y",1,0)</f>
        <v>1</v>
      </c>
      <c r="M532" s="149"/>
      <c r="N532" s="150" t="str">
        <f>VLOOKUP(D532,A!A$1:V$767,20,FALSE)</f>
        <v>y</v>
      </c>
      <c r="O532" s="93" t="s">
        <v>65</v>
      </c>
      <c r="P532" s="10" t="str">
        <f>VLOOKUP(D532,A!A$1:V$767,16,FALSE)</f>
        <v>y</v>
      </c>
      <c r="Q532" s="10" t="s">
        <v>782</v>
      </c>
      <c r="R532" s="10">
        <f t="shared" si="50"/>
        <v>0</v>
      </c>
      <c r="S532" s="10">
        <f>VLOOKUP(D532,A!A$1:AK$767,33,FALSE)</f>
        <v>60</v>
      </c>
      <c r="T532" s="10">
        <v>8.3000000000000004E-2</v>
      </c>
      <c r="U532" s="10">
        <f t="shared" si="51"/>
        <v>0</v>
      </c>
      <c r="X532" s="10"/>
    </row>
    <row r="533" spans="1:24" ht="11.25" hidden="1" customHeight="1" x14ac:dyDescent="0.25">
      <c r="A533" s="1" t="str">
        <f>IF(R533=0,"",COUNTIF(A$23:A532,"&gt;0")+1)</f>
        <v/>
      </c>
      <c r="B533" s="87"/>
      <c r="C533" s="63" t="s">
        <v>42</v>
      </c>
      <c r="D533" s="64" t="s">
        <v>161</v>
      </c>
      <c r="E533" s="65"/>
      <c r="F533" s="65"/>
      <c r="G533" s="97" t="s">
        <v>162</v>
      </c>
      <c r="H533" s="66" t="s">
        <v>163</v>
      </c>
      <c r="I533" s="67">
        <f>VLOOKUP(D533,A!A$1:V$767,22,FALSE)</f>
        <v>1</v>
      </c>
      <c r="J533" s="67"/>
      <c r="K533" s="68">
        <f>IF(VLOOKUP(D533,A!A$1:V$767,18,FALSE)="y",1,0)</f>
        <v>0</v>
      </c>
      <c r="L533" s="68">
        <f>IF(VLOOKUP(D533,A!A$1:V$767,19,FALSE)="y",1,0)</f>
        <v>0</v>
      </c>
      <c r="M533" s="149"/>
      <c r="N533" s="150">
        <f>VLOOKUP(D533,A!A$1:V$767,20,FALSE)</f>
        <v>0</v>
      </c>
      <c r="O533" s="93" t="s">
        <v>73</v>
      </c>
      <c r="P533" s="10">
        <f>VLOOKUP(D533,A!A$1:V$767,16,FALSE)</f>
        <v>0</v>
      </c>
      <c r="Q533" s="10" t="s">
        <v>782</v>
      </c>
      <c r="R533" s="10">
        <f t="shared" si="50"/>
        <v>0</v>
      </c>
      <c r="S533" s="10">
        <f>VLOOKUP(D533,A!A$1:AK$767,33,FALSE)</f>
        <v>60</v>
      </c>
      <c r="T533" s="10">
        <v>8.3000000000000004E-2</v>
      </c>
      <c r="U533" s="10">
        <f t="shared" si="51"/>
        <v>0</v>
      </c>
      <c r="X533" s="10"/>
    </row>
    <row r="534" spans="1:24" ht="11.25" hidden="1" customHeight="1" x14ac:dyDescent="0.25">
      <c r="A534" s="1" t="str">
        <f>IF(R534=0,"",COUNTIF(A$23:A533,"&gt;0")+1)</f>
        <v/>
      </c>
      <c r="B534" s="87"/>
      <c r="C534" s="63" t="s">
        <v>42</v>
      </c>
      <c r="D534" s="64" t="s">
        <v>188</v>
      </c>
      <c r="E534" s="65"/>
      <c r="F534" s="65"/>
      <c r="G534" s="97" t="s">
        <v>189</v>
      </c>
      <c r="H534" s="66" t="s">
        <v>190</v>
      </c>
      <c r="I534" s="67">
        <f>VLOOKUP(D534,A!A$1:V$767,22,FALSE)</f>
        <v>0</v>
      </c>
      <c r="J534" s="67"/>
      <c r="K534" s="68">
        <f>IF(VLOOKUP(D534,A!A$1:V$767,18,FALSE)="y",1,0)</f>
        <v>0</v>
      </c>
      <c r="L534" s="68">
        <f>IF(VLOOKUP(D534,A!A$1:V$767,19,FALSE)="y",1,0)</f>
        <v>0</v>
      </c>
      <c r="M534" s="149"/>
      <c r="N534" s="150">
        <f>VLOOKUP(D534,A!A$1:V$767,20,FALSE)</f>
        <v>0</v>
      </c>
      <c r="O534" s="93">
        <v>2</v>
      </c>
      <c r="P534" s="10">
        <f>VLOOKUP(D534,A!A$1:V$767,16,FALSE)</f>
        <v>0</v>
      </c>
      <c r="Q534" s="10" t="s">
        <v>782</v>
      </c>
      <c r="R534" s="10">
        <f t="shared" si="50"/>
        <v>0</v>
      </c>
      <c r="S534" s="10" t="str">
        <f>VLOOKUP(D534,A!A$1:AK$767,33,FALSE)</f>
        <v/>
      </c>
      <c r="T534" s="10">
        <v>8.3000000000000004E-2</v>
      </c>
      <c r="U534" s="10">
        <f t="shared" si="51"/>
        <v>0</v>
      </c>
      <c r="X534" s="10"/>
    </row>
    <row r="535" spans="1:24" ht="11.25" customHeight="1" x14ac:dyDescent="0.25">
      <c r="A535" s="1" t="str">
        <f>IF(R535=0,"",COUNTIF(A$23:A534,"&gt;0")+1)</f>
        <v/>
      </c>
      <c r="B535" s="745"/>
      <c r="C535" s="738" t="s">
        <v>42</v>
      </c>
      <c r="D535" s="746" t="s">
        <v>173</v>
      </c>
      <c r="E535" s="747"/>
      <c r="F535" s="747"/>
      <c r="G535" s="748" t="s">
        <v>198</v>
      </c>
      <c r="H535" s="749" t="s">
        <v>199</v>
      </c>
      <c r="I535" s="750">
        <v>1</v>
      </c>
      <c r="J535" s="750"/>
      <c r="K535" s="68">
        <f>IF(VLOOKUP(D535,A!A$1:V$767,18,FALSE)="y",1,0)</f>
        <v>1</v>
      </c>
      <c r="L535" s="68">
        <f>IF(VLOOKUP(D535,A!A$1:V$767,19,FALSE)="y",1,0)</f>
        <v>0</v>
      </c>
      <c r="M535" s="752"/>
      <c r="N535" s="750"/>
      <c r="O535" s="753">
        <v>1</v>
      </c>
      <c r="P535" s="10" t="str">
        <f>VLOOKUP(D535,A!A$1:V$767,16,FALSE)</f>
        <v>y</v>
      </c>
      <c r="Q535" s="10" t="s">
        <v>782</v>
      </c>
      <c r="R535" s="10">
        <f>B535</f>
        <v>0</v>
      </c>
      <c r="S535" s="10">
        <f>VLOOKUP(D535,A!A$1:AK$767,33,FALSE)</f>
        <v>30</v>
      </c>
      <c r="T535" s="10">
        <v>8.3000000000000004E-2</v>
      </c>
      <c r="U535" s="10">
        <f>T535*B535</f>
        <v>0</v>
      </c>
      <c r="X535" s="10"/>
    </row>
    <row r="536" spans="1:24" ht="11.25" customHeight="1" x14ac:dyDescent="0.25">
      <c r="A536" s="1" t="str">
        <f>IF(R536=0,"",COUNTIF(A$23:A535,"&gt;0")+1)</f>
        <v/>
      </c>
      <c r="B536" s="224"/>
      <c r="C536" s="164" t="s">
        <v>42</v>
      </c>
      <c r="D536" s="165" t="s">
        <v>197</v>
      </c>
      <c r="E536" s="166"/>
      <c r="F536" s="166"/>
      <c r="G536" s="723" t="s">
        <v>198</v>
      </c>
      <c r="H536" s="168" t="s">
        <v>199</v>
      </c>
      <c r="I536" s="150">
        <f>VLOOKUP(D536,A!A$1:V$767,22,FALSE)</f>
        <v>2</v>
      </c>
      <c r="J536" s="150"/>
      <c r="K536" s="68">
        <f>IF(VLOOKUP(D536,A!A$1:V$767,18,FALSE)="y",1,0)</f>
        <v>1</v>
      </c>
      <c r="L536" s="68">
        <f>IF(VLOOKUP(D536,A!A$1:V$767,19,FALSE)="y",1,0)</f>
        <v>1</v>
      </c>
      <c r="M536" s="706"/>
      <c r="N536" s="150">
        <f>VLOOKUP(D536,A!A$1:V$767,20,FALSE)</f>
        <v>0</v>
      </c>
      <c r="O536" s="744">
        <v>1</v>
      </c>
      <c r="P536" s="10" t="str">
        <f>VLOOKUP(D536,A!A$1:V$767,16,FALSE)</f>
        <v>y</v>
      </c>
      <c r="Q536" s="10" t="s">
        <v>782</v>
      </c>
      <c r="R536" s="10">
        <f t="shared" si="50"/>
        <v>0</v>
      </c>
      <c r="S536" s="10">
        <f>VLOOKUP(D536,A!A$1:AK$767,33,FALSE)</f>
        <v>45</v>
      </c>
      <c r="T536" s="10">
        <v>8.3000000000000004E-2</v>
      </c>
      <c r="U536" s="10">
        <f t="shared" si="51"/>
        <v>0</v>
      </c>
      <c r="X536" s="10"/>
    </row>
    <row r="537" spans="1:24" ht="11.25" hidden="1" customHeight="1" x14ac:dyDescent="0.25">
      <c r="A537" s="1" t="str">
        <f>IF(R537=0,"",COUNTIF(A$23:A536,"&gt;0")+1)</f>
        <v/>
      </c>
      <c r="B537" s="87"/>
      <c r="C537" s="63" t="s">
        <v>42</v>
      </c>
      <c r="D537" s="64" t="s">
        <v>200</v>
      </c>
      <c r="E537" s="65"/>
      <c r="F537" s="65"/>
      <c r="G537" s="97" t="s">
        <v>201</v>
      </c>
      <c r="H537" s="66" t="s">
        <v>202</v>
      </c>
      <c r="I537" s="67">
        <f>VLOOKUP(D537,A!A$1:V$767,22,FALSE)</f>
        <v>1</v>
      </c>
      <c r="J537" s="67"/>
      <c r="K537" s="68">
        <f>IF(VLOOKUP(D537,A!A$1:V$767,18,FALSE)="y",1,0)</f>
        <v>0</v>
      </c>
      <c r="L537" s="68">
        <f>IF(VLOOKUP(D537,A!A$1:V$767,19,FALSE)="y",1,0)</f>
        <v>0</v>
      </c>
      <c r="M537" s="706"/>
      <c r="N537" s="150">
        <f>VLOOKUP(D537,A!A$1:V$767,20,FALSE)</f>
        <v>0</v>
      </c>
      <c r="O537" s="93" t="s">
        <v>73</v>
      </c>
      <c r="P537" s="10">
        <f>VLOOKUP(D537,A!A$1:V$767,16,FALSE)</f>
        <v>0</v>
      </c>
      <c r="Q537" s="10" t="s">
        <v>782</v>
      </c>
      <c r="R537" s="10">
        <f t="shared" si="50"/>
        <v>0</v>
      </c>
      <c r="S537" s="10">
        <f>VLOOKUP(D537,A!A$1:AK$767,33,FALSE)</f>
        <v>30</v>
      </c>
      <c r="T537" s="10">
        <v>8.3000000000000004E-2</v>
      </c>
      <c r="U537" s="10">
        <f t="shared" si="51"/>
        <v>0</v>
      </c>
      <c r="X537" s="10"/>
    </row>
    <row r="538" spans="1:24" ht="11.25" customHeight="1" x14ac:dyDescent="0.25">
      <c r="A538" s="1" t="str">
        <f>IF(R538=0,"",COUNTIF(A$23:A537,"&gt;0")+1)</f>
        <v/>
      </c>
      <c r="B538" s="87"/>
      <c r="C538" s="63" t="s">
        <v>42</v>
      </c>
      <c r="D538" s="88" t="s">
        <v>205</v>
      </c>
      <c r="E538" s="65"/>
      <c r="F538" s="65"/>
      <c r="G538" s="89" t="s">
        <v>201</v>
      </c>
      <c r="H538" s="90" t="s">
        <v>206</v>
      </c>
      <c r="I538" s="67">
        <f>VLOOKUP(D538,A!A$1:H$767,8,FALSE)</f>
        <v>1</v>
      </c>
      <c r="J538" s="67"/>
      <c r="K538" s="68">
        <f>IF(VLOOKUP(D538,A!A$1:H$767,4,FALSE)="y",1,0)</f>
        <v>1</v>
      </c>
      <c r="L538" s="68">
        <f>IF(VLOOKUP(D538,A!A$1:H$767,5,FALSE)="y",1,0)</f>
        <v>1</v>
      </c>
      <c r="M538" s="711" t="s">
        <v>64</v>
      </c>
      <c r="N538" s="67">
        <f>VLOOKUP(D538,A!A$1:H$767,6,FALSE)</f>
        <v>0</v>
      </c>
      <c r="O538" s="93" t="s">
        <v>73</v>
      </c>
      <c r="P538" s="10" t="str">
        <f>VLOOKUP(D538,A!A$1:V$767,16,FALSE)</f>
        <v>y</v>
      </c>
      <c r="Q538" s="10" t="s">
        <v>782</v>
      </c>
      <c r="R538" s="10">
        <f t="shared" ref="R538" si="52">B538</f>
        <v>0</v>
      </c>
      <c r="S538" s="10">
        <f>VLOOKUP(D538,A!A$1:AK$767,33,FALSE)</f>
        <v>45</v>
      </c>
      <c r="T538" s="10">
        <v>8.3000000000000004E-2</v>
      </c>
      <c r="U538" s="10">
        <f t="shared" ref="U538" si="53">T538*B538</f>
        <v>0</v>
      </c>
      <c r="X538" s="10"/>
    </row>
    <row r="539" spans="1:24" ht="11.25" customHeight="1" x14ac:dyDescent="0.25">
      <c r="A539" s="1" t="str">
        <f>IF(R539=0,"",COUNTIF(A$23:A538,"&gt;0")+1)</f>
        <v/>
      </c>
      <c r="B539" s="87"/>
      <c r="C539" s="63" t="s">
        <v>42</v>
      </c>
      <c r="D539" s="64" t="s">
        <v>207</v>
      </c>
      <c r="E539" s="65"/>
      <c r="F539" s="65"/>
      <c r="G539" s="97" t="s">
        <v>201</v>
      </c>
      <c r="H539" s="66" t="s">
        <v>209</v>
      </c>
      <c r="I539" s="67">
        <f>VLOOKUP(D539,A!A$1:V$767,22,FALSE)</f>
        <v>1</v>
      </c>
      <c r="J539" s="67"/>
      <c r="K539" s="68">
        <f>IF(VLOOKUP(D539,A!A$1:V$767,18,FALSE)="y",1,0)</f>
        <v>1</v>
      </c>
      <c r="L539" s="68">
        <f>IF(VLOOKUP(D539,A!A$1:V$767,19,FALSE)="y",1,0)</f>
        <v>0</v>
      </c>
      <c r="M539" s="706"/>
      <c r="N539" s="150" t="str">
        <f>VLOOKUP(D539,A!A$1:V$767,20,FALSE)</f>
        <v>y</v>
      </c>
      <c r="O539" s="93" t="s">
        <v>73</v>
      </c>
      <c r="P539" s="10" t="str">
        <f>VLOOKUP(D539,A!A$1:V$767,16,FALSE)</f>
        <v>y</v>
      </c>
      <c r="Q539" s="10" t="s">
        <v>782</v>
      </c>
      <c r="R539" s="10">
        <f t="shared" si="50"/>
        <v>0</v>
      </c>
      <c r="S539" s="10">
        <f>VLOOKUP(D539,A!A$1:AK$767,33,FALSE)</f>
        <v>45</v>
      </c>
      <c r="T539" s="10">
        <v>8.3000000000000004E-2</v>
      </c>
      <c r="U539" s="10">
        <f t="shared" si="51"/>
        <v>0</v>
      </c>
      <c r="X539" s="10"/>
    </row>
    <row r="540" spans="1:24" ht="11.25" hidden="1" customHeight="1" x14ac:dyDescent="0.25">
      <c r="A540" s="1" t="str">
        <f>IF(R540=0,"",COUNTIF(A$23:A539,"&gt;0")+1)</f>
        <v/>
      </c>
      <c r="B540" s="87"/>
      <c r="C540" s="63" t="s">
        <v>42</v>
      </c>
      <c r="D540" s="64" t="s">
        <v>786</v>
      </c>
      <c r="E540" s="65"/>
      <c r="F540" s="65"/>
      <c r="G540" s="97" t="s">
        <v>211</v>
      </c>
      <c r="H540" s="66" t="s">
        <v>212</v>
      </c>
      <c r="I540" s="67">
        <f>VLOOKUP(D540,A!A$1:V$767,22,FALSE)</f>
        <v>0</v>
      </c>
      <c r="J540" s="67" t="s">
        <v>63</v>
      </c>
      <c r="K540" s="68">
        <f>IF(VLOOKUP(D540,A!A$1:V$767,18,FALSE)="y",1,0)</f>
        <v>0</v>
      </c>
      <c r="L540" s="68">
        <f>IF(VLOOKUP(D540,A!A$1:V$767,19,FALSE)="y",1,0)</f>
        <v>0</v>
      </c>
      <c r="M540" s="706"/>
      <c r="N540" s="150">
        <f>VLOOKUP(D540,A!A$1:V$767,20,FALSE)</f>
        <v>0</v>
      </c>
      <c r="O540" s="93" t="s">
        <v>73</v>
      </c>
      <c r="P540" s="10">
        <f>VLOOKUP(D540,A!A$1:V$767,16,FALSE)</f>
        <v>0</v>
      </c>
      <c r="Q540" s="10" t="s">
        <v>782</v>
      </c>
      <c r="R540" s="10">
        <f t="shared" si="50"/>
        <v>0</v>
      </c>
      <c r="S540" s="10" t="str">
        <f>VLOOKUP(D540,A!A$1:AK$767,33,FALSE)</f>
        <v/>
      </c>
      <c r="T540" s="10">
        <v>8.3000000000000004E-2</v>
      </c>
      <c r="U540" s="10">
        <f t="shared" si="51"/>
        <v>0</v>
      </c>
      <c r="X540" s="10"/>
    </row>
    <row r="541" spans="1:24" ht="11.25" hidden="1" customHeight="1" x14ac:dyDescent="0.25">
      <c r="A541" s="1" t="str">
        <f>IF(R541=0,"",COUNTIF(A$23:A540,"&gt;0")+1)</f>
        <v/>
      </c>
      <c r="B541" s="87"/>
      <c r="C541" s="63" t="s">
        <v>42</v>
      </c>
      <c r="D541" s="64" t="s">
        <v>213</v>
      </c>
      <c r="E541" s="65"/>
      <c r="F541" s="65"/>
      <c r="G541" s="97" t="s">
        <v>214</v>
      </c>
      <c r="H541" s="66" t="s">
        <v>215</v>
      </c>
      <c r="I541" s="67">
        <f>VLOOKUP(D541,A!A$1:V$767,22,FALSE)</f>
        <v>1</v>
      </c>
      <c r="J541" s="67"/>
      <c r="K541" s="68">
        <f>IF(VLOOKUP(D541,A!A$1:V$767,18,FALSE)="y",1,0)</f>
        <v>0</v>
      </c>
      <c r="L541" s="68">
        <f>IF(VLOOKUP(D541,A!A$1:V$767,19,FALSE)="y",1,0)</f>
        <v>0</v>
      </c>
      <c r="M541" s="706"/>
      <c r="N541" s="150">
        <f>VLOOKUP(D541,A!A$1:V$767,20,FALSE)</f>
        <v>0</v>
      </c>
      <c r="O541" s="93" t="s">
        <v>73</v>
      </c>
      <c r="P541" s="10">
        <f>VLOOKUP(D541,A!A$1:V$767,16,FALSE)</f>
        <v>0</v>
      </c>
      <c r="Q541" s="10" t="s">
        <v>782</v>
      </c>
      <c r="R541" s="10">
        <f t="shared" si="50"/>
        <v>0</v>
      </c>
      <c r="S541" s="10">
        <f>VLOOKUP(D541,A!A$1:AK$767,33,FALSE)</f>
        <v>60</v>
      </c>
      <c r="T541" s="10">
        <v>8.3000000000000004E-2</v>
      </c>
      <c r="U541" s="10">
        <f t="shared" si="51"/>
        <v>0</v>
      </c>
      <c r="X541" s="10"/>
    </row>
    <row r="542" spans="1:24" ht="11.25" hidden="1" customHeight="1" x14ac:dyDescent="0.25">
      <c r="A542" s="1" t="str">
        <f>IF(R542=0,"",COUNTIF(A$23:A541,"&gt;0")+1)</f>
        <v/>
      </c>
      <c r="B542" s="87"/>
      <c r="C542" s="63" t="s">
        <v>42</v>
      </c>
      <c r="D542" s="64" t="s">
        <v>219</v>
      </c>
      <c r="E542" s="65"/>
      <c r="F542" s="65"/>
      <c r="G542" s="97" t="s">
        <v>220</v>
      </c>
      <c r="H542" s="66" t="s">
        <v>221</v>
      </c>
      <c r="I542" s="67">
        <f>VLOOKUP(D542,A!A$1:V$767,22,FALSE)</f>
        <v>0</v>
      </c>
      <c r="J542" s="67"/>
      <c r="K542" s="68">
        <f>IF(VLOOKUP(D542,A!A$1:V$767,18,FALSE)="y",1,0)</f>
        <v>0</v>
      </c>
      <c r="L542" s="68">
        <f>IF(VLOOKUP(D542,A!A$1:V$767,19,FALSE)="y",1,0)</f>
        <v>0</v>
      </c>
      <c r="M542" s="706"/>
      <c r="N542" s="150">
        <f>VLOOKUP(D542,A!A$1:V$767,20,FALSE)</f>
        <v>0</v>
      </c>
      <c r="O542" s="93" t="s">
        <v>73</v>
      </c>
      <c r="P542" s="10">
        <f>VLOOKUP(D542,A!A$1:V$767,16,FALSE)</f>
        <v>0</v>
      </c>
      <c r="Q542" s="10" t="s">
        <v>782</v>
      </c>
      <c r="R542" s="10">
        <f t="shared" si="50"/>
        <v>0</v>
      </c>
      <c r="S542" s="10" t="str">
        <f>VLOOKUP(D542,A!A$1:AK$767,33,FALSE)</f>
        <v/>
      </c>
      <c r="T542" s="10">
        <v>8.3000000000000004E-2</v>
      </c>
      <c r="U542" s="10">
        <f t="shared" si="51"/>
        <v>0</v>
      </c>
      <c r="X542" s="10"/>
    </row>
    <row r="543" spans="1:24" ht="11.25" customHeight="1" x14ac:dyDescent="0.25">
      <c r="A543" s="1" t="str">
        <f>IF(R543=0,"",COUNTIF(A$23:A542,"&gt;0")+1)</f>
        <v/>
      </c>
      <c r="B543" s="87"/>
      <c r="C543" s="63" t="s">
        <v>42</v>
      </c>
      <c r="D543" s="64" t="s">
        <v>231</v>
      </c>
      <c r="E543" s="65"/>
      <c r="F543" s="65"/>
      <c r="G543" s="97" t="s">
        <v>232</v>
      </c>
      <c r="H543" s="66" t="s">
        <v>233</v>
      </c>
      <c r="I543" s="67">
        <f>VLOOKUP(D543,A!A$1:V$767,22,FALSE)</f>
        <v>1</v>
      </c>
      <c r="J543" s="67" t="s">
        <v>63</v>
      </c>
      <c r="K543" s="68">
        <f>IF(VLOOKUP(D543,A!A$1:V$767,18,FALSE)="y",1,0)</f>
        <v>1</v>
      </c>
      <c r="L543" s="68">
        <f>IF(VLOOKUP(D543,A!A$1:V$767,19,FALSE)="y",1,0)</f>
        <v>1</v>
      </c>
      <c r="M543" s="706"/>
      <c r="N543" s="150">
        <f>VLOOKUP(D543,A!A$1:V$767,20,FALSE)</f>
        <v>0</v>
      </c>
      <c r="O543" s="93" t="s">
        <v>65</v>
      </c>
      <c r="P543" s="10" t="str">
        <f>VLOOKUP(D543,A!A$1:V$767,16,FALSE)</f>
        <v>y</v>
      </c>
      <c r="Q543" s="10" t="s">
        <v>782</v>
      </c>
      <c r="R543" s="10">
        <f t="shared" si="50"/>
        <v>0</v>
      </c>
      <c r="S543" s="10">
        <f>VLOOKUP(D543,A!A$1:AK$767,33,FALSE)</f>
        <v>60</v>
      </c>
      <c r="T543" s="10">
        <v>8.3000000000000004E-2</v>
      </c>
      <c r="U543" s="10">
        <f t="shared" si="51"/>
        <v>0</v>
      </c>
      <c r="X543" s="10"/>
    </row>
    <row r="544" spans="1:24" ht="11.25" hidden="1" customHeight="1" x14ac:dyDescent="0.25">
      <c r="A544" s="1" t="str">
        <f>IF(R544=0,"",COUNTIF(A$23:A543,"&gt;0")+1)</f>
        <v/>
      </c>
      <c r="B544" s="87"/>
      <c r="C544" s="63" t="s">
        <v>42</v>
      </c>
      <c r="D544" s="64" t="s">
        <v>787</v>
      </c>
      <c r="E544" s="65"/>
      <c r="F544" s="65"/>
      <c r="G544" s="97" t="s">
        <v>235</v>
      </c>
      <c r="H544" s="66" t="s">
        <v>236</v>
      </c>
      <c r="I544" s="67">
        <f>VLOOKUP(D544,A!A$1:V$767,22,FALSE)</f>
        <v>1</v>
      </c>
      <c r="J544" s="67"/>
      <c r="K544" s="68">
        <f>IF(VLOOKUP(D544,A!A$1:V$767,18,FALSE)="y",1,0)</f>
        <v>0</v>
      </c>
      <c r="L544" s="68">
        <f>IF(VLOOKUP(D544,A!A$1:V$767,19,FALSE)="y",1,0)</f>
        <v>0</v>
      </c>
      <c r="M544" s="706"/>
      <c r="N544" s="150">
        <f>VLOOKUP(D544,A!A$1:V$767,20,FALSE)</f>
        <v>0</v>
      </c>
      <c r="O544" s="93" t="s">
        <v>65</v>
      </c>
      <c r="P544" s="10">
        <f>VLOOKUP(D544,A!A$1:V$767,16,FALSE)</f>
        <v>0</v>
      </c>
      <c r="Q544" s="10" t="s">
        <v>782</v>
      </c>
      <c r="R544" s="10">
        <f t="shared" si="50"/>
        <v>0</v>
      </c>
      <c r="S544" s="10">
        <f>VLOOKUP(D544,A!A$1:AK$767,33,FALSE)</f>
        <v>60</v>
      </c>
      <c r="T544" s="10">
        <v>8.3000000000000004E-2</v>
      </c>
      <c r="U544" s="10">
        <f t="shared" si="51"/>
        <v>0</v>
      </c>
      <c r="X544" s="10"/>
    </row>
    <row r="545" spans="1:24" ht="11.25" hidden="1" customHeight="1" x14ac:dyDescent="0.25">
      <c r="A545" s="1" t="str">
        <f>IF(R545=0,"",COUNTIF(A$23:A544,"&gt;0")+1)</f>
        <v/>
      </c>
      <c r="B545" s="224"/>
      <c r="C545" s="164" t="s">
        <v>42</v>
      </c>
      <c r="D545" s="165" t="s">
        <v>241</v>
      </c>
      <c r="E545" s="166"/>
      <c r="F545" s="166"/>
      <c r="G545" s="723" t="s">
        <v>242</v>
      </c>
      <c r="H545" s="168" t="s">
        <v>684</v>
      </c>
      <c r="I545" s="67">
        <f>VLOOKUP(D545,A!A$1:V$767,22,FALSE)</f>
        <v>0</v>
      </c>
      <c r="J545" s="150"/>
      <c r="K545" s="68">
        <f>IF(VLOOKUP(D545,A!A$1:V$767,18,FALSE)="y",1,0)</f>
        <v>0</v>
      </c>
      <c r="L545" s="68">
        <f>IF(VLOOKUP(D545,A!A$1:V$767,19,FALSE)="y",1,0)</f>
        <v>0</v>
      </c>
      <c r="M545" s="706"/>
      <c r="N545" s="150">
        <f>VLOOKUP(D545,A!A$1:V$767,20,FALSE)</f>
        <v>0</v>
      </c>
      <c r="O545" s="225">
        <v>1</v>
      </c>
      <c r="P545" s="10">
        <f>VLOOKUP(D545,A!A$1:V$767,16,FALSE)</f>
        <v>0</v>
      </c>
      <c r="Q545" s="10" t="s">
        <v>782</v>
      </c>
      <c r="R545" s="10">
        <f t="shared" si="50"/>
        <v>0</v>
      </c>
      <c r="S545" s="10" t="str">
        <f>VLOOKUP(D545,A!A$1:AK$767,33,FALSE)</f>
        <v/>
      </c>
      <c r="T545" s="10">
        <v>8.3000000000000004E-2</v>
      </c>
      <c r="U545" s="10">
        <f t="shared" si="51"/>
        <v>0</v>
      </c>
      <c r="X545" s="10"/>
    </row>
    <row r="546" spans="1:24" ht="10.5" hidden="1" customHeight="1" x14ac:dyDescent="0.25">
      <c r="A546" s="1" t="str">
        <f>IF(R546=0,"",COUNTIF(A$23:A545,"&gt;0")+1)</f>
        <v/>
      </c>
      <c r="B546" s="87"/>
      <c r="C546" s="63" t="s">
        <v>42</v>
      </c>
      <c r="D546" s="64" t="s">
        <v>248</v>
      </c>
      <c r="E546" s="65"/>
      <c r="F546" s="95" t="s">
        <v>788</v>
      </c>
      <c r="G546" s="97" t="s">
        <v>789</v>
      </c>
      <c r="H546" s="66" t="s">
        <v>790</v>
      </c>
      <c r="I546" s="67">
        <f>VLOOKUP(D546,A!A$1:V$767,22,FALSE)</f>
        <v>1</v>
      </c>
      <c r="J546" s="67"/>
      <c r="K546" s="68">
        <f>IF(VLOOKUP(D546,A!A$1:V$767,18,FALSE)="y",1,0)</f>
        <v>0</v>
      </c>
      <c r="L546" s="68">
        <f>IF(VLOOKUP(D546,A!A$1:V$767,19,FALSE)="y",1,0)</f>
        <v>0</v>
      </c>
      <c r="M546" s="706"/>
      <c r="N546" s="150">
        <f>VLOOKUP(D546,A!A$1:V$767,20,FALSE)</f>
        <v>0</v>
      </c>
      <c r="O546" s="93">
        <v>1</v>
      </c>
      <c r="P546" s="10">
        <f>VLOOKUP(D546,A!A$1:V$767,16,FALSE)</f>
        <v>0</v>
      </c>
      <c r="Q546" s="10" t="s">
        <v>782</v>
      </c>
      <c r="R546" s="10">
        <f t="shared" si="50"/>
        <v>0</v>
      </c>
      <c r="S546" s="10">
        <f>VLOOKUP(D546,A!A$1:AK$767,33,FALSE)</f>
        <v>60</v>
      </c>
      <c r="T546" s="10">
        <v>8.3000000000000004E-2</v>
      </c>
      <c r="U546" s="10">
        <f t="shared" si="51"/>
        <v>0</v>
      </c>
      <c r="X546" s="10"/>
    </row>
    <row r="547" spans="1:24" ht="10.5" hidden="1" customHeight="1" x14ac:dyDescent="0.25">
      <c r="A547" s="1" t="str">
        <f>IF(R547=0,"",COUNTIF(A$23:A546,"&gt;0")+1)</f>
        <v/>
      </c>
      <c r="B547" s="87"/>
      <c r="C547" s="63" t="s">
        <v>42</v>
      </c>
      <c r="D547" s="64" t="s">
        <v>251</v>
      </c>
      <c r="E547" s="65"/>
      <c r="F547" s="65"/>
      <c r="G547" s="97" t="s">
        <v>242</v>
      </c>
      <c r="H547" s="66" t="s">
        <v>252</v>
      </c>
      <c r="I547" s="67">
        <f>VLOOKUP(D547,A!A$1:V$767,22,FALSE)</f>
        <v>1</v>
      </c>
      <c r="J547" s="67"/>
      <c r="K547" s="68">
        <f>IF(VLOOKUP(D547,A!A$1:V$767,18,FALSE)="y",1,0)</f>
        <v>0</v>
      </c>
      <c r="L547" s="68">
        <f>IF(VLOOKUP(D547,A!A$1:V$767,19,FALSE)="y",1,0)</f>
        <v>0</v>
      </c>
      <c r="M547" s="706"/>
      <c r="N547" s="150">
        <f>VLOOKUP(D547,A!A$1:V$767,20,FALSE)</f>
        <v>0</v>
      </c>
      <c r="O547" s="93">
        <v>1</v>
      </c>
      <c r="P547" s="10">
        <f>VLOOKUP(D547,A!A$1:V$767,16,FALSE)</f>
        <v>0</v>
      </c>
      <c r="Q547" s="10" t="s">
        <v>782</v>
      </c>
      <c r="R547" s="10">
        <f t="shared" si="50"/>
        <v>0</v>
      </c>
      <c r="S547" s="10">
        <f>VLOOKUP(D547,A!A$1:AK$767,33,FALSE)</f>
        <v>45</v>
      </c>
      <c r="T547" s="10">
        <v>8.3000000000000004E-2</v>
      </c>
      <c r="U547" s="10">
        <f t="shared" si="51"/>
        <v>0</v>
      </c>
      <c r="X547" s="10"/>
    </row>
    <row r="548" spans="1:24" ht="11.25" hidden="1" customHeight="1" x14ac:dyDescent="0.25">
      <c r="A548" s="1" t="str">
        <f>IF(R548=0,"",COUNTIF(A$23:A547,"&gt;0")+1)</f>
        <v/>
      </c>
      <c r="B548" s="87"/>
      <c r="C548" s="63" t="s">
        <v>42</v>
      </c>
      <c r="D548" s="64" t="s">
        <v>249</v>
      </c>
      <c r="E548" s="65"/>
      <c r="F548" s="65"/>
      <c r="G548" s="97" t="s">
        <v>242</v>
      </c>
      <c r="H548" s="66" t="s">
        <v>250</v>
      </c>
      <c r="I548" s="67">
        <f>VLOOKUP(D548,A!A$1:V$767,22,FALSE)</f>
        <v>1</v>
      </c>
      <c r="J548" s="67"/>
      <c r="K548" s="68">
        <f>IF(VLOOKUP(D548,A!A$1:V$767,18,FALSE)="y",1,0)</f>
        <v>0</v>
      </c>
      <c r="L548" s="68">
        <f>IF(VLOOKUP(D548,A!A$1:V$767,19,FALSE)="y",1,0)</f>
        <v>0</v>
      </c>
      <c r="M548" s="706"/>
      <c r="N548" s="150">
        <f>VLOOKUP(D548,A!A$1:V$767,20,FALSE)</f>
        <v>0</v>
      </c>
      <c r="O548" s="93">
        <v>1</v>
      </c>
      <c r="P548" s="10">
        <f>VLOOKUP(D548,A!A$1:V$767,16,FALSE)</f>
        <v>0</v>
      </c>
      <c r="Q548" s="10" t="s">
        <v>782</v>
      </c>
      <c r="R548" s="10">
        <f t="shared" ref="R548:R582" si="54">B548</f>
        <v>0</v>
      </c>
      <c r="S548" s="10">
        <f>VLOOKUP(D548,A!A$1:AK$767,33,FALSE)</f>
        <v>45</v>
      </c>
      <c r="T548" s="10">
        <v>8.3000000000000004E-2</v>
      </c>
      <c r="U548" s="10">
        <f t="shared" ref="U548:U581" si="55">T548*B548</f>
        <v>0</v>
      </c>
      <c r="X548" s="10"/>
    </row>
    <row r="549" spans="1:24" ht="11.25" hidden="1" customHeight="1" x14ac:dyDescent="0.25">
      <c r="A549" s="1" t="str">
        <f>IF(R549=0,"",COUNTIF(A$23:A548,"&gt;0")+1)</f>
        <v/>
      </c>
      <c r="B549" s="87"/>
      <c r="C549" s="63" t="s">
        <v>42</v>
      </c>
      <c r="D549" s="64" t="s">
        <v>257</v>
      </c>
      <c r="E549" s="65"/>
      <c r="F549" s="95" t="s">
        <v>788</v>
      </c>
      <c r="G549" s="97" t="s">
        <v>242</v>
      </c>
      <c r="H549" s="66" t="s">
        <v>791</v>
      </c>
      <c r="I549" s="67">
        <f>VLOOKUP(D549,A!A$1:V$767,22,FALSE)</f>
        <v>1</v>
      </c>
      <c r="J549" s="67"/>
      <c r="K549" s="68">
        <f>IF(VLOOKUP(D549,A!A$1:V$767,18,FALSE)="y",1,0)</f>
        <v>0</v>
      </c>
      <c r="L549" s="68">
        <f>IF(VLOOKUP(D549,A!A$1:V$767,19,FALSE)="y",1,0)</f>
        <v>0</v>
      </c>
      <c r="M549" s="706"/>
      <c r="N549" s="150">
        <f>VLOOKUP(D549,A!A$1:V$767,20,FALSE)</f>
        <v>0</v>
      </c>
      <c r="O549" s="93">
        <v>1</v>
      </c>
      <c r="P549" s="10">
        <f>VLOOKUP(D549,A!A$1:V$767,16,FALSE)</f>
        <v>0</v>
      </c>
      <c r="Q549" s="10" t="s">
        <v>782</v>
      </c>
      <c r="R549" s="10">
        <f t="shared" si="54"/>
        <v>0</v>
      </c>
      <c r="S549" s="10">
        <f>VLOOKUP(D549,A!A$1:AK$767,33,FALSE)</f>
        <v>60</v>
      </c>
      <c r="T549" s="10">
        <v>8.3000000000000004E-2</v>
      </c>
      <c r="U549" s="10">
        <f t="shared" si="55"/>
        <v>0</v>
      </c>
      <c r="X549" s="10"/>
    </row>
    <row r="550" spans="1:24" ht="11.25" hidden="1" customHeight="1" x14ac:dyDescent="0.25">
      <c r="A550" s="1" t="str">
        <f>IF(R550=0,"",COUNTIF(A$23:A549,"&gt;0")+1)</f>
        <v/>
      </c>
      <c r="B550" s="87"/>
      <c r="C550" s="63" t="s">
        <v>42</v>
      </c>
      <c r="D550" s="64" t="s">
        <v>261</v>
      </c>
      <c r="E550" s="65"/>
      <c r="F550" s="65"/>
      <c r="G550" s="97" t="s">
        <v>259</v>
      </c>
      <c r="H550" s="66" t="s">
        <v>262</v>
      </c>
      <c r="I550" s="67">
        <f>VLOOKUP(D550,A!A$1:V$767,22,FALSE)</f>
        <v>1</v>
      </c>
      <c r="J550" s="67"/>
      <c r="K550" s="68">
        <f>IF(VLOOKUP(D550,A!A$1:V$767,18,FALSE)="y",1,0)</f>
        <v>0</v>
      </c>
      <c r="L550" s="68">
        <f>IF(VLOOKUP(D550,A!A$1:V$767,19,FALSE)="y",1,0)</f>
        <v>0</v>
      </c>
      <c r="M550" s="706"/>
      <c r="N550" s="150">
        <f>VLOOKUP(D550,A!A$1:V$767,20,FALSE)</f>
        <v>0</v>
      </c>
      <c r="O550" s="93">
        <v>2</v>
      </c>
      <c r="P550" s="10">
        <f>VLOOKUP(D550,A!A$1:V$767,16,FALSE)</f>
        <v>0</v>
      </c>
      <c r="Q550" s="10" t="s">
        <v>782</v>
      </c>
      <c r="R550" s="10">
        <f t="shared" si="54"/>
        <v>0</v>
      </c>
      <c r="S550" s="10">
        <f>VLOOKUP(D550,A!A$1:AK$767,33,FALSE)</f>
        <v>45</v>
      </c>
      <c r="T550" s="10">
        <v>8.3000000000000004E-2</v>
      </c>
      <c r="U550" s="10">
        <f t="shared" si="55"/>
        <v>0</v>
      </c>
      <c r="X550" s="10"/>
    </row>
    <row r="551" spans="1:24" ht="11.25" hidden="1" customHeight="1" x14ac:dyDescent="0.25">
      <c r="A551" s="1" t="str">
        <f>IF(R551=0,"",COUNTIF(A$23:A550,"&gt;0")+1)</f>
        <v/>
      </c>
      <c r="B551" s="87"/>
      <c r="C551" s="63" t="s">
        <v>42</v>
      </c>
      <c r="D551" s="64" t="s">
        <v>270</v>
      </c>
      <c r="E551" s="65"/>
      <c r="F551" s="65"/>
      <c r="G551" s="97" t="s">
        <v>271</v>
      </c>
      <c r="H551" s="66" t="s">
        <v>272</v>
      </c>
      <c r="I551" s="67">
        <f>VLOOKUP(D551,A!A$1:V$767,22,FALSE)</f>
        <v>0</v>
      </c>
      <c r="J551" s="67"/>
      <c r="K551" s="68">
        <f>IF(VLOOKUP(D551,A!A$1:V$767,18,FALSE)="y",1,0)</f>
        <v>0</v>
      </c>
      <c r="L551" s="68">
        <f>IF(VLOOKUP(D551,A!A$1:V$767,19,FALSE)="y",1,0)</f>
        <v>0</v>
      </c>
      <c r="M551" s="706"/>
      <c r="N551" s="150">
        <f>VLOOKUP(D551,A!A$1:V$767,20,FALSE)</f>
        <v>0</v>
      </c>
      <c r="O551" s="93" t="s">
        <v>73</v>
      </c>
      <c r="P551" s="10">
        <f>VLOOKUP(D551,A!A$1:V$767,16,FALSE)</f>
        <v>0</v>
      </c>
      <c r="Q551" s="10" t="s">
        <v>782</v>
      </c>
      <c r="R551" s="10">
        <f t="shared" si="54"/>
        <v>0</v>
      </c>
      <c r="S551" s="10" t="str">
        <f>VLOOKUP(D551,A!A$1:AK$767,33,FALSE)</f>
        <v/>
      </c>
      <c r="T551" s="10">
        <v>8.3000000000000004E-2</v>
      </c>
      <c r="U551" s="10">
        <f t="shared" si="55"/>
        <v>0</v>
      </c>
      <c r="X551" s="10"/>
    </row>
    <row r="552" spans="1:24" ht="11.25" hidden="1" customHeight="1" x14ac:dyDescent="0.25">
      <c r="A552" s="1" t="str">
        <f>IF(R552=0,"",COUNTIF(A$23:A551,"&gt;0")+1)</f>
        <v/>
      </c>
      <c r="B552" s="87"/>
      <c r="C552" s="63" t="s">
        <v>42</v>
      </c>
      <c r="D552" s="64" t="s">
        <v>276</v>
      </c>
      <c r="E552" s="65"/>
      <c r="F552" s="65"/>
      <c r="G552" s="97" t="s">
        <v>277</v>
      </c>
      <c r="H552" s="66" t="s">
        <v>278</v>
      </c>
      <c r="I552" s="67">
        <f>VLOOKUP(D552,A!A$1:V$767,22,FALSE)</f>
        <v>0</v>
      </c>
      <c r="J552" s="67"/>
      <c r="K552" s="68">
        <f>IF(VLOOKUP(D552,A!A$1:V$767,18,FALSE)="y",1,0)</f>
        <v>0</v>
      </c>
      <c r="L552" s="68">
        <f>IF(VLOOKUP(D552,A!A$1:V$767,19,FALSE)="y",1,0)</f>
        <v>0</v>
      </c>
      <c r="M552" s="706"/>
      <c r="N552" s="150">
        <f>VLOOKUP(D552,A!A$1:V$767,20,FALSE)</f>
        <v>0</v>
      </c>
      <c r="O552" s="93" t="s">
        <v>73</v>
      </c>
      <c r="P552" s="10">
        <f>VLOOKUP(D552,A!A$1:V$767,16,FALSE)</f>
        <v>0</v>
      </c>
      <c r="Q552" s="10" t="s">
        <v>782</v>
      </c>
      <c r="R552" s="10">
        <f t="shared" si="54"/>
        <v>0</v>
      </c>
      <c r="S552" s="10" t="str">
        <f>VLOOKUP(D552,A!A$1:AK$767,33,FALSE)</f>
        <v/>
      </c>
      <c r="T552" s="10">
        <v>8.3000000000000004E-2</v>
      </c>
      <c r="U552" s="10">
        <f t="shared" si="55"/>
        <v>0</v>
      </c>
      <c r="X552" s="10"/>
    </row>
    <row r="553" spans="1:24" ht="11.25" customHeight="1" x14ac:dyDescent="0.25">
      <c r="A553" s="1" t="str">
        <f>IF(R553=0,"",COUNTIF(A$23:A552,"&gt;0")+1)</f>
        <v/>
      </c>
      <c r="B553" s="87"/>
      <c r="C553" s="63" t="s">
        <v>42</v>
      </c>
      <c r="D553" s="64" t="s">
        <v>287</v>
      </c>
      <c r="E553" s="65"/>
      <c r="F553" s="65"/>
      <c r="G553" s="97" t="s">
        <v>283</v>
      </c>
      <c r="H553" s="66" t="s">
        <v>288</v>
      </c>
      <c r="I553" s="67">
        <f>VLOOKUP(D553,A!A$1:V$767,22,FALSE)</f>
        <v>1</v>
      </c>
      <c r="J553" s="67"/>
      <c r="K553" s="68">
        <f>IF(VLOOKUP(D553,A!A$1:V$767,18,FALSE)="y",1,0)</f>
        <v>1</v>
      </c>
      <c r="L553" s="68">
        <f>IF(VLOOKUP(D553,A!A$1:V$767,19,FALSE)="y",1,0)</f>
        <v>1</v>
      </c>
      <c r="M553" s="706"/>
      <c r="N553" s="150">
        <f>VLOOKUP(D553,A!A$1:V$767,20,FALSE)</f>
        <v>0</v>
      </c>
      <c r="O553" s="93" t="s">
        <v>73</v>
      </c>
      <c r="P553" s="10" t="str">
        <f>VLOOKUP(D553,A!A$1:V$767,16,FALSE)</f>
        <v>y</v>
      </c>
      <c r="Q553" s="10" t="s">
        <v>782</v>
      </c>
      <c r="R553" s="10">
        <f t="shared" si="54"/>
        <v>0</v>
      </c>
      <c r="S553" s="10">
        <f>VLOOKUP(D553,A!A$1:AK$767,33,FALSE)</f>
        <v>45</v>
      </c>
      <c r="T553" s="10">
        <v>8.3000000000000004E-2</v>
      </c>
      <c r="U553" s="10">
        <f t="shared" si="55"/>
        <v>0</v>
      </c>
      <c r="X553" s="10"/>
    </row>
    <row r="554" spans="1:24" ht="11.25" hidden="1" customHeight="1" x14ac:dyDescent="0.25">
      <c r="A554" s="1" t="str">
        <f>IF(R554=0,"",COUNTIF(A$23:A553,"&gt;0")+1)</f>
        <v/>
      </c>
      <c r="B554" s="87"/>
      <c r="C554" s="63" t="s">
        <v>42</v>
      </c>
      <c r="D554" s="64" t="s">
        <v>694</v>
      </c>
      <c r="E554" s="65"/>
      <c r="F554" s="65"/>
      <c r="G554" s="97" t="s">
        <v>283</v>
      </c>
      <c r="H554" s="66" t="s">
        <v>695</v>
      </c>
      <c r="I554" s="67">
        <f>VLOOKUP(D554,A!A$1:V$767,22,FALSE)</f>
        <v>0</v>
      </c>
      <c r="J554" s="67"/>
      <c r="K554" s="68">
        <f>IF(VLOOKUP(D554,A!A$1:V$767,18,FALSE)="y",1,0)</f>
        <v>0</v>
      </c>
      <c r="L554" s="68">
        <f>IF(VLOOKUP(D554,A!A$1:V$767,19,FALSE)="y",1,0)</f>
        <v>0</v>
      </c>
      <c r="M554" s="706"/>
      <c r="N554" s="150">
        <f>VLOOKUP(D554,A!A$1:V$767,20,FALSE)</f>
        <v>0</v>
      </c>
      <c r="O554" s="93">
        <v>1</v>
      </c>
      <c r="P554" s="10">
        <f>VLOOKUP(D554,A!A$1:V$767,16,FALSE)</f>
        <v>0</v>
      </c>
      <c r="Q554" s="10" t="s">
        <v>782</v>
      </c>
      <c r="R554" s="10">
        <f t="shared" si="54"/>
        <v>0</v>
      </c>
      <c r="S554" s="10" t="str">
        <f>VLOOKUP(D554,A!A$1:AK$767,33,FALSE)</f>
        <v/>
      </c>
      <c r="T554" s="10">
        <v>8.3000000000000004E-2</v>
      </c>
      <c r="U554" s="10">
        <f t="shared" si="55"/>
        <v>0</v>
      </c>
      <c r="X554" s="10"/>
    </row>
    <row r="555" spans="1:24" ht="11.25" hidden="1" customHeight="1" x14ac:dyDescent="0.25">
      <c r="A555" s="1" t="str">
        <f>IF(R555=0,"",COUNTIF(A$23:A554,"&gt;0")+1)</f>
        <v/>
      </c>
      <c r="B555" s="87"/>
      <c r="C555" s="63" t="s">
        <v>42</v>
      </c>
      <c r="D555" s="64" t="s">
        <v>316</v>
      </c>
      <c r="E555" s="65"/>
      <c r="F555" s="65"/>
      <c r="G555" s="97" t="s">
        <v>300</v>
      </c>
      <c r="H555" s="66" t="s">
        <v>317</v>
      </c>
      <c r="I555" s="67">
        <f>VLOOKUP(D555,A!A$1:V$767,22,FALSE)</f>
        <v>0</v>
      </c>
      <c r="J555" s="67" t="s">
        <v>63</v>
      </c>
      <c r="K555" s="68">
        <f>IF(VLOOKUP(D555,A!A$1:V$767,18,FALSE)="y",1,0)</f>
        <v>0</v>
      </c>
      <c r="L555" s="68">
        <f>IF(VLOOKUP(D555,A!A$1:V$767,19,FALSE)="y",1,0)</f>
        <v>0</v>
      </c>
      <c r="M555" s="706"/>
      <c r="N555" s="150">
        <f>VLOOKUP(D555,A!A$1:V$767,20,FALSE)</f>
        <v>0</v>
      </c>
      <c r="O555" s="93" t="s">
        <v>73</v>
      </c>
      <c r="P555" s="10">
        <f>VLOOKUP(D555,A!A$1:V$767,16,FALSE)</f>
        <v>0</v>
      </c>
      <c r="Q555" s="10" t="s">
        <v>782</v>
      </c>
      <c r="R555" s="10">
        <f t="shared" si="54"/>
        <v>0</v>
      </c>
      <c r="S555" s="10" t="str">
        <f>VLOOKUP(D555,A!A$1:AK$767,33,FALSE)</f>
        <v/>
      </c>
      <c r="T555" s="10">
        <v>8.3000000000000004E-2</v>
      </c>
      <c r="U555" s="10">
        <f t="shared" si="55"/>
        <v>0</v>
      </c>
      <c r="X555" s="10"/>
    </row>
    <row r="556" spans="1:24" ht="11.25" hidden="1" customHeight="1" x14ac:dyDescent="0.25">
      <c r="A556" s="1" t="str">
        <f>IF(R556=0,"",COUNTIF(A$23:A555,"&gt;0")+1)</f>
        <v/>
      </c>
      <c r="B556" s="87"/>
      <c r="C556" s="63" t="s">
        <v>42</v>
      </c>
      <c r="D556" s="64" t="s">
        <v>313</v>
      </c>
      <c r="E556" s="65"/>
      <c r="F556" s="65"/>
      <c r="G556" s="97" t="s">
        <v>314</v>
      </c>
      <c r="H556" s="66" t="s">
        <v>315</v>
      </c>
      <c r="I556" s="67">
        <f>VLOOKUP(D556,A!A$1:V$767,22,FALSE)</f>
        <v>1</v>
      </c>
      <c r="J556" s="67"/>
      <c r="K556" s="68">
        <f>IF(VLOOKUP(D556,A!A$1:V$767,18,FALSE)="y",1,0)</f>
        <v>0</v>
      </c>
      <c r="L556" s="68">
        <f>IF(VLOOKUP(D556,A!A$1:V$767,19,FALSE)="y",1,0)</f>
        <v>0</v>
      </c>
      <c r="M556" s="706"/>
      <c r="N556" s="150"/>
      <c r="O556" s="93" t="s">
        <v>73</v>
      </c>
      <c r="P556" s="10">
        <f>VLOOKUP(D556,A!A$1:V$767,16,FALSE)</f>
        <v>0</v>
      </c>
      <c r="Q556" s="10" t="s">
        <v>782</v>
      </c>
      <c r="R556" s="10">
        <f>B556</f>
        <v>0</v>
      </c>
      <c r="S556" s="10">
        <f>VLOOKUP(D556,A!A$1:AK$767,33,FALSE)</f>
        <v>45</v>
      </c>
      <c r="T556" s="10">
        <v>8.3000000000000004E-2</v>
      </c>
      <c r="U556" s="10">
        <f>T556*B556</f>
        <v>0</v>
      </c>
      <c r="X556" s="10"/>
    </row>
    <row r="557" spans="1:24" ht="11.25" hidden="1" customHeight="1" x14ac:dyDescent="0.25">
      <c r="A557" s="1" t="str">
        <f>IF(R557=0,"",COUNTIF(A$23:A556,"&gt;0")+1)</f>
        <v/>
      </c>
      <c r="B557" s="87"/>
      <c r="C557" s="63" t="s">
        <v>42</v>
      </c>
      <c r="D557" s="64" t="s">
        <v>792</v>
      </c>
      <c r="E557" s="65"/>
      <c r="F557" s="65"/>
      <c r="G557" s="97" t="s">
        <v>337</v>
      </c>
      <c r="H557" s="66" t="s">
        <v>338</v>
      </c>
      <c r="I557" s="67">
        <f>VLOOKUP(D557,A!A$1:V$767,22,FALSE)</f>
        <v>2</v>
      </c>
      <c r="J557" s="67"/>
      <c r="K557" s="68">
        <f>IF(VLOOKUP(D557,A!A$1:V$767,18,FALSE)="y",1,0)</f>
        <v>0</v>
      </c>
      <c r="L557" s="68">
        <f>IF(VLOOKUP(D557,A!A$1:V$767,19,FALSE)="y",1,0)</f>
        <v>0</v>
      </c>
      <c r="M557" s="706"/>
      <c r="N557" s="150">
        <f>VLOOKUP(D557,A!A$1:V$767,20,FALSE)</f>
        <v>0</v>
      </c>
      <c r="O557" s="93" t="s">
        <v>73</v>
      </c>
      <c r="P557" s="10">
        <f>VLOOKUP(D557,A!A$1:V$767,16,FALSE)</f>
        <v>0</v>
      </c>
      <c r="Q557" s="10" t="s">
        <v>782</v>
      </c>
      <c r="R557" s="10">
        <f t="shared" si="54"/>
        <v>0</v>
      </c>
      <c r="S557" s="10">
        <f>VLOOKUP(D557,A!A$1:AK$767,33,FALSE)</f>
        <v>45</v>
      </c>
      <c r="T557" s="10">
        <v>8.3000000000000004E-2</v>
      </c>
      <c r="U557" s="10">
        <f t="shared" si="55"/>
        <v>0</v>
      </c>
      <c r="X557" s="10"/>
    </row>
    <row r="558" spans="1:24" ht="11.25" hidden="1" customHeight="1" x14ac:dyDescent="0.25">
      <c r="A558" s="1" t="str">
        <f>IF(R558=0,"",COUNTIF(A$23:A557,"&gt;0")+1)</f>
        <v/>
      </c>
      <c r="B558" s="87"/>
      <c r="C558" s="63" t="s">
        <v>42</v>
      </c>
      <c r="D558" s="64" t="s">
        <v>793</v>
      </c>
      <c r="E558" s="65"/>
      <c r="F558" s="65"/>
      <c r="G558" s="97" t="s">
        <v>755</v>
      </c>
      <c r="H558" s="66" t="s">
        <v>329</v>
      </c>
      <c r="I558" s="67">
        <f>VLOOKUP(D558,A!A$1:V$767,22,FALSE)</f>
        <v>1</v>
      </c>
      <c r="J558" s="67" t="s">
        <v>63</v>
      </c>
      <c r="K558" s="68">
        <f>IF(VLOOKUP(D558,A!A$1:V$767,18,FALSE)="y",1,0)</f>
        <v>0</v>
      </c>
      <c r="L558" s="68">
        <f>IF(VLOOKUP(D558,A!A$1:V$767,19,FALSE)="y",1,0)</f>
        <v>0</v>
      </c>
      <c r="M558" s="706"/>
      <c r="N558" s="150">
        <f>VLOOKUP(D558,A!A$1:V$767,20,FALSE)</f>
        <v>0</v>
      </c>
      <c r="O558" s="93" t="s">
        <v>73</v>
      </c>
      <c r="P558" s="10">
        <f>VLOOKUP(D558,A!A$1:V$767,16,FALSE)</f>
        <v>0</v>
      </c>
      <c r="Q558" s="10" t="s">
        <v>782</v>
      </c>
      <c r="R558" s="10">
        <f t="shared" si="54"/>
        <v>0</v>
      </c>
      <c r="S558" s="10" t="str">
        <f>VLOOKUP(D558,A!A$1:AK$767,33,FALSE)</f>
        <v/>
      </c>
      <c r="T558" s="10">
        <v>8.3000000000000004E-2</v>
      </c>
      <c r="U558" s="10">
        <f t="shared" si="55"/>
        <v>0</v>
      </c>
      <c r="X558" s="10"/>
    </row>
    <row r="559" spans="1:24" ht="11.25" hidden="1" customHeight="1" x14ac:dyDescent="0.25">
      <c r="A559" s="1" t="str">
        <f>IF(R559=0,"",COUNTIF(A$23:A558,"&gt;0")+1)</f>
        <v/>
      </c>
      <c r="B559" s="87"/>
      <c r="C559" s="63" t="s">
        <v>42</v>
      </c>
      <c r="D559" s="64" t="s">
        <v>336</v>
      </c>
      <c r="E559" s="65"/>
      <c r="F559" s="65"/>
      <c r="G559" s="97" t="s">
        <v>337</v>
      </c>
      <c r="H559" s="66" t="s">
        <v>338</v>
      </c>
      <c r="I559" s="67">
        <f>VLOOKUP(D559,A!A$1:V$767,22,FALSE)</f>
        <v>0</v>
      </c>
      <c r="J559" s="67"/>
      <c r="K559" s="68">
        <f>IF(VLOOKUP(D559,A!A$1:V$767,18,FALSE)="y",1,0)</f>
        <v>0</v>
      </c>
      <c r="L559" s="68">
        <f>IF(VLOOKUP(D559,A!A$1:V$767,19,FALSE)="y",1,0)</f>
        <v>0</v>
      </c>
      <c r="M559" s="706"/>
      <c r="N559" s="150">
        <f>VLOOKUP(D559,A!A$1:V$767,20,FALSE)</f>
        <v>0</v>
      </c>
      <c r="O559" s="93" t="s">
        <v>73</v>
      </c>
      <c r="P559" s="10">
        <f>VLOOKUP(D559,A!A$1:V$767,16,FALSE)</f>
        <v>0</v>
      </c>
      <c r="Q559" s="10" t="s">
        <v>782</v>
      </c>
      <c r="R559" s="10">
        <f t="shared" si="54"/>
        <v>0</v>
      </c>
      <c r="S559" s="10" t="str">
        <f>VLOOKUP(D559,A!A$1:AK$767,33,FALSE)</f>
        <v/>
      </c>
      <c r="T559" s="10">
        <v>8.3000000000000004E-2</v>
      </c>
      <c r="U559" s="10">
        <f t="shared" si="55"/>
        <v>0</v>
      </c>
      <c r="X559" s="10"/>
    </row>
    <row r="560" spans="1:24" ht="11.25" hidden="1" customHeight="1" x14ac:dyDescent="0.25">
      <c r="A560" s="1" t="str">
        <f>IF(R560=0,"",COUNTIF(A$23:A559,"&gt;0")+1)</f>
        <v/>
      </c>
      <c r="B560" s="87"/>
      <c r="C560" s="63" t="s">
        <v>42</v>
      </c>
      <c r="D560" s="64" t="s">
        <v>345</v>
      </c>
      <c r="E560" s="65"/>
      <c r="F560" s="65"/>
      <c r="G560" s="97" t="s">
        <v>346</v>
      </c>
      <c r="H560" s="66" t="s">
        <v>347</v>
      </c>
      <c r="I560" s="67">
        <f>VLOOKUP(D560,A!A$1:V$767,22,FALSE)</f>
        <v>0</v>
      </c>
      <c r="J560" s="67" t="s">
        <v>63</v>
      </c>
      <c r="K560" s="68">
        <f>IF(VLOOKUP(D560,A!A$1:V$767,18,FALSE)="y",1,0)</f>
        <v>0</v>
      </c>
      <c r="L560" s="68">
        <f>IF(VLOOKUP(D560,A!A$1:V$767,19,FALSE)="y",1,0)</f>
        <v>0</v>
      </c>
      <c r="M560" s="706"/>
      <c r="N560" s="150">
        <f>VLOOKUP(D560,A!A$1:V$767,20,FALSE)</f>
        <v>0</v>
      </c>
      <c r="O560" s="93">
        <v>2</v>
      </c>
      <c r="P560" s="10">
        <f>VLOOKUP(D560,A!A$1:V$767,16,FALSE)</f>
        <v>0</v>
      </c>
      <c r="Q560" s="10" t="s">
        <v>782</v>
      </c>
      <c r="R560" s="10">
        <f t="shared" si="54"/>
        <v>0</v>
      </c>
      <c r="S560" s="10" t="str">
        <f>VLOOKUP(D560,A!A$1:AK$767,33,FALSE)</f>
        <v/>
      </c>
      <c r="T560" s="10">
        <v>8.3000000000000004E-2</v>
      </c>
      <c r="U560" s="10">
        <f t="shared" si="55"/>
        <v>0</v>
      </c>
      <c r="X560" s="10"/>
    </row>
    <row r="561" spans="1:24" ht="11.25" hidden="1" customHeight="1" x14ac:dyDescent="0.25">
      <c r="A561" s="1" t="str">
        <f>IF(R561=0,"",COUNTIF(A$23:A560,"&gt;0")+1)</f>
        <v/>
      </c>
      <c r="B561" s="87"/>
      <c r="C561" s="63" t="s">
        <v>42</v>
      </c>
      <c r="D561" s="64" t="s">
        <v>756</v>
      </c>
      <c r="E561" s="65"/>
      <c r="F561" s="65"/>
      <c r="G561" s="97" t="s">
        <v>349</v>
      </c>
      <c r="H561" s="66" t="s">
        <v>350</v>
      </c>
      <c r="I561" s="67">
        <f>VLOOKUP(D561,A!A$1:V$767,22,FALSE)</f>
        <v>0</v>
      </c>
      <c r="J561" s="67"/>
      <c r="K561" s="68">
        <f>IF(VLOOKUP(D561,A!A$1:V$767,18,FALSE)="y",1,0)</f>
        <v>0</v>
      </c>
      <c r="L561" s="68">
        <f>IF(VLOOKUP(D561,A!A$1:V$767,19,FALSE)="y",1,0)</f>
        <v>0</v>
      </c>
      <c r="M561" s="706"/>
      <c r="N561" s="150">
        <f>VLOOKUP(D561,A!A$1:V$767,20,FALSE)</f>
        <v>0</v>
      </c>
      <c r="O561" s="93">
        <v>2</v>
      </c>
      <c r="P561" s="10">
        <f>VLOOKUP(D561,A!A$1:V$767,16,FALSE)</f>
        <v>0</v>
      </c>
      <c r="Q561" s="10" t="s">
        <v>782</v>
      </c>
      <c r="R561" s="10">
        <f t="shared" si="54"/>
        <v>0</v>
      </c>
      <c r="S561" s="10">
        <f>VLOOKUP(D561,A!A$1:AK$767,33,FALSE)</f>
        <v>0</v>
      </c>
      <c r="T561" s="10">
        <v>8.3000000000000004E-2</v>
      </c>
      <c r="U561" s="10">
        <f t="shared" si="55"/>
        <v>0</v>
      </c>
      <c r="X561" s="10"/>
    </row>
    <row r="562" spans="1:24" ht="11.25" hidden="1" customHeight="1" x14ac:dyDescent="0.25">
      <c r="A562" s="1" t="str">
        <f>IF(R562=0,"",COUNTIF(A$23:A561,"&gt;0")+1)</f>
        <v/>
      </c>
      <c r="B562" s="87"/>
      <c r="C562" s="63" t="s">
        <v>42</v>
      </c>
      <c r="D562" s="64" t="s">
        <v>351</v>
      </c>
      <c r="E562" s="65"/>
      <c r="F562" s="65"/>
      <c r="G562" s="97" t="s">
        <v>352</v>
      </c>
      <c r="H562" s="66"/>
      <c r="I562" s="67">
        <f>VLOOKUP(D562,A!A$1:V$767,22,FALSE)</f>
        <v>0</v>
      </c>
      <c r="J562" s="67"/>
      <c r="K562" s="68">
        <f>IF(VLOOKUP(D562,A!A$1:V$767,18,FALSE)="y",1,0)</f>
        <v>0</v>
      </c>
      <c r="L562" s="68">
        <f>IF(VLOOKUP(D562,A!A$1:V$767,19,FALSE)="y",1,0)</f>
        <v>0</v>
      </c>
      <c r="M562" s="706"/>
      <c r="N562" s="150">
        <f>VLOOKUP(D562,A!A$1:V$767,20,FALSE)</f>
        <v>0</v>
      </c>
      <c r="O562" s="93">
        <v>2</v>
      </c>
      <c r="P562" s="10">
        <f>VLOOKUP(D562,A!A$1:V$767,16,FALSE)</f>
        <v>0</v>
      </c>
      <c r="Q562" s="10" t="s">
        <v>782</v>
      </c>
      <c r="R562" s="10">
        <f t="shared" si="54"/>
        <v>0</v>
      </c>
      <c r="S562" s="10" t="str">
        <f>VLOOKUP(D562,A!A$1:AK$767,33,FALSE)</f>
        <v/>
      </c>
      <c r="T562" s="10">
        <v>8.3000000000000004E-2</v>
      </c>
      <c r="U562" s="10">
        <f t="shared" si="55"/>
        <v>0</v>
      </c>
      <c r="X562" s="10"/>
    </row>
    <row r="563" spans="1:24" ht="11.25" hidden="1" customHeight="1" x14ac:dyDescent="0.25">
      <c r="A563" s="1" t="str">
        <f>IF(R563=0,"",COUNTIF(A$23:A562,"&gt;0")+1)</f>
        <v/>
      </c>
      <c r="B563" s="87"/>
      <c r="C563" s="63" t="s">
        <v>42</v>
      </c>
      <c r="D563" s="64" t="s">
        <v>794</v>
      </c>
      <c r="E563" s="65"/>
      <c r="F563" s="65"/>
      <c r="G563" s="97" t="s">
        <v>355</v>
      </c>
      <c r="H563" s="66" t="s">
        <v>356</v>
      </c>
      <c r="I563" s="67">
        <f>VLOOKUP(D563,A!A$1:V$767,22,FALSE)</f>
        <v>1</v>
      </c>
      <c r="J563" s="67"/>
      <c r="K563" s="68">
        <f>IF(VLOOKUP(D563,A!A$1:V$767,18,FALSE)="y",1,0)</f>
        <v>0</v>
      </c>
      <c r="L563" s="68">
        <f>IF(VLOOKUP(D563,A!A$1:V$767,19,FALSE)="y",1,0)</f>
        <v>0</v>
      </c>
      <c r="M563" s="706"/>
      <c r="N563" s="150">
        <f>VLOOKUP(D563,A!A$1:V$767,20,FALSE)</f>
        <v>0</v>
      </c>
      <c r="O563" s="93">
        <v>2</v>
      </c>
      <c r="P563" s="10">
        <f>VLOOKUP(D563,A!A$1:V$767,16,FALSE)</f>
        <v>0</v>
      </c>
      <c r="Q563" s="10" t="s">
        <v>782</v>
      </c>
      <c r="R563" s="10">
        <f t="shared" si="54"/>
        <v>0</v>
      </c>
      <c r="S563" s="10">
        <f>VLOOKUP(D563,A!A$1:AK$767,33,FALSE)</f>
        <v>45</v>
      </c>
      <c r="T563" s="10">
        <v>8.3000000000000004E-2</v>
      </c>
      <c r="U563" s="10">
        <f t="shared" si="55"/>
        <v>0</v>
      </c>
      <c r="X563" s="10"/>
    </row>
    <row r="564" spans="1:24" ht="11.25" hidden="1" customHeight="1" x14ac:dyDescent="0.25">
      <c r="A564" s="1" t="str">
        <f>IF(R564=0,"",COUNTIF(A$23:A563,"&gt;0")+1)</f>
        <v/>
      </c>
      <c r="B564" s="87"/>
      <c r="C564" s="63" t="s">
        <v>42</v>
      </c>
      <c r="D564" s="88" t="s">
        <v>357</v>
      </c>
      <c r="E564" s="65"/>
      <c r="F564" s="65"/>
      <c r="G564" s="89" t="s">
        <v>358</v>
      </c>
      <c r="H564" s="90" t="s">
        <v>359</v>
      </c>
      <c r="I564" s="67">
        <v>3</v>
      </c>
      <c r="J564" s="67"/>
      <c r="K564" s="68">
        <f>IF(VLOOKUP(D564,A!A$1:V$767,18,FALSE)="y",1,0)</f>
        <v>0</v>
      </c>
      <c r="L564" s="68">
        <f>IF(VLOOKUP(D564,A!A$1:V$767,19,FALSE)="y",1,0)</f>
        <v>0</v>
      </c>
      <c r="M564" s="711"/>
      <c r="N564" s="67">
        <f>VLOOKUP(D564,A!A$1:H$767,6,FALSE)</f>
        <v>0</v>
      </c>
      <c r="O564" s="93" t="s">
        <v>73</v>
      </c>
      <c r="P564" s="10">
        <f>VLOOKUP(D564,A!A$1:V$767,16,FALSE)</f>
        <v>0</v>
      </c>
      <c r="Q564" s="10" t="s">
        <v>782</v>
      </c>
      <c r="R564" s="10">
        <f t="shared" ref="R564" si="56">B564</f>
        <v>0</v>
      </c>
      <c r="S564" s="10">
        <f>VLOOKUP(D564,A!A$1:AK$767,33,FALSE)</f>
        <v>45</v>
      </c>
      <c r="T564" s="10">
        <v>8.3000000000000004E-2</v>
      </c>
      <c r="U564" s="10">
        <f t="shared" ref="U564" si="57">T564*B564</f>
        <v>0</v>
      </c>
      <c r="X564" s="10"/>
    </row>
    <row r="565" spans="1:24" ht="11.25" hidden="1" customHeight="1" x14ac:dyDescent="0.25">
      <c r="A565" s="1" t="str">
        <f>IF(R565=0,"",COUNTIF(A$23:A564,"&gt;0")+1)</f>
        <v/>
      </c>
      <c r="B565" s="87"/>
      <c r="C565" s="63" t="s">
        <v>42</v>
      </c>
      <c r="D565" s="64" t="s">
        <v>360</v>
      </c>
      <c r="E565" s="65"/>
      <c r="F565" s="65"/>
      <c r="G565" s="97" t="s">
        <v>361</v>
      </c>
      <c r="H565" s="66" t="s">
        <v>362</v>
      </c>
      <c r="I565" s="67">
        <f>VLOOKUP(D565,A!A$1:V$767,22,FALSE)</f>
        <v>1</v>
      </c>
      <c r="J565" s="67"/>
      <c r="K565" s="68">
        <f>IF(VLOOKUP(D565,A!A$1:V$767,18,FALSE)="y",1,0)</f>
        <v>0</v>
      </c>
      <c r="L565" s="68">
        <f>IF(VLOOKUP(D565,A!A$1:V$767,19,FALSE)="y",1,0)</f>
        <v>0</v>
      </c>
      <c r="M565" s="706"/>
      <c r="N565" s="150">
        <f>VLOOKUP(D565,A!A$1:V$767,20,FALSE)</f>
        <v>0</v>
      </c>
      <c r="O565" s="93" t="s">
        <v>73</v>
      </c>
      <c r="P565" s="10">
        <f>VLOOKUP(D565,A!A$1:V$767,16,FALSE)</f>
        <v>0</v>
      </c>
      <c r="Q565" s="10" t="s">
        <v>782</v>
      </c>
      <c r="R565" s="10">
        <f t="shared" si="54"/>
        <v>0</v>
      </c>
      <c r="S565" s="10">
        <f>VLOOKUP(D565,A!A$1:AK$767,33,FALSE)</f>
        <v>45</v>
      </c>
      <c r="T565" s="10">
        <v>8.3000000000000004E-2</v>
      </c>
      <c r="U565" s="10">
        <f t="shared" si="55"/>
        <v>0</v>
      </c>
      <c r="X565" s="10"/>
    </row>
    <row r="566" spans="1:24" ht="11.25" customHeight="1" x14ac:dyDescent="0.25">
      <c r="A566" s="1" t="str">
        <f>IF(R566=0,"",COUNTIF(A$23:A565,"&gt;0")+1)</f>
        <v/>
      </c>
      <c r="B566" s="87"/>
      <c r="C566" s="63" t="s">
        <v>42</v>
      </c>
      <c r="D566" s="64" t="s">
        <v>363</v>
      </c>
      <c r="E566" s="65"/>
      <c r="F566" s="65"/>
      <c r="G566" s="97" t="s">
        <v>364</v>
      </c>
      <c r="H566" s="66" t="s">
        <v>365</v>
      </c>
      <c r="I566" s="67">
        <f>VLOOKUP(D566,A!A$1:V$767,22,FALSE)</f>
        <v>2</v>
      </c>
      <c r="J566" s="67"/>
      <c r="K566" s="68">
        <f>IF(VLOOKUP(D566,A!A$1:V$767,18,FALSE)="y",1,0)</f>
        <v>1</v>
      </c>
      <c r="L566" s="68">
        <f>IF(VLOOKUP(D566,A!A$1:V$767,19,FALSE)="y",1,0)</f>
        <v>1</v>
      </c>
      <c r="M566" s="706"/>
      <c r="N566" s="150">
        <f>VLOOKUP(D566,A!A$1:V$767,20,FALSE)</f>
        <v>0</v>
      </c>
      <c r="O566" s="93" t="s">
        <v>73</v>
      </c>
      <c r="P566" s="10" t="str">
        <f>VLOOKUP(D566,A!A$1:V$767,16,FALSE)</f>
        <v>y</v>
      </c>
      <c r="Q566" s="10" t="s">
        <v>782</v>
      </c>
      <c r="R566" s="10">
        <f t="shared" si="54"/>
        <v>0</v>
      </c>
      <c r="S566" s="10">
        <f>VLOOKUP(D566,A!A$1:AK$767,33,FALSE)</f>
        <v>60</v>
      </c>
      <c r="T566" s="10">
        <v>8.3000000000000004E-2</v>
      </c>
      <c r="U566" s="10">
        <f t="shared" si="55"/>
        <v>0</v>
      </c>
      <c r="X566" s="10"/>
    </row>
    <row r="567" spans="1:24" ht="11.25" hidden="1" customHeight="1" x14ac:dyDescent="0.25">
      <c r="A567" s="1" t="str">
        <f>IF(R567=0,"",COUNTIF(A$23:A566,"&gt;0")+1)</f>
        <v/>
      </c>
      <c r="B567" s="87"/>
      <c r="C567" s="63" t="s">
        <v>42</v>
      </c>
      <c r="D567" s="64" t="s">
        <v>376</v>
      </c>
      <c r="E567" s="95"/>
      <c r="F567" s="208"/>
      <c r="G567" s="97" t="s">
        <v>374</v>
      </c>
      <c r="H567" s="66" t="s">
        <v>377</v>
      </c>
      <c r="I567" s="67">
        <f>VLOOKUP(D567,A!A$1:V$767,22,FALSE)</f>
        <v>1</v>
      </c>
      <c r="J567" s="67"/>
      <c r="K567" s="68">
        <f>IF(VLOOKUP(D567,A!A$1:V$767,18,FALSE)="y",1,0)</f>
        <v>0</v>
      </c>
      <c r="L567" s="68">
        <f>IF(VLOOKUP(D567,A!A$1:V$767,19,FALSE)="y",1,0)</f>
        <v>0</v>
      </c>
      <c r="M567" s="706"/>
      <c r="N567" s="150"/>
      <c r="O567" s="93" t="s">
        <v>55</v>
      </c>
      <c r="P567" s="10">
        <f>VLOOKUP(D567,A!A$1:V$767,16,FALSE)</f>
        <v>0</v>
      </c>
      <c r="Q567" s="10" t="s">
        <v>782</v>
      </c>
      <c r="R567" s="10">
        <f>B567</f>
        <v>0</v>
      </c>
      <c r="S567" s="10">
        <f>VLOOKUP(D567,A!A$1:AK$767,33,FALSE)</f>
        <v>60</v>
      </c>
      <c r="T567" s="10">
        <v>8.3000000000000004E-2</v>
      </c>
      <c r="U567" s="10">
        <f>T567*B567</f>
        <v>0</v>
      </c>
      <c r="X567" s="10"/>
    </row>
    <row r="568" spans="1:24" ht="11.25" hidden="1" customHeight="1" x14ac:dyDescent="0.25">
      <c r="A568" s="1" t="str">
        <f>IF(R568=0,"",COUNTIF(A$23:A567,"&gt;0")+1)</f>
        <v/>
      </c>
      <c r="B568" s="87"/>
      <c r="C568" s="63" t="s">
        <v>42</v>
      </c>
      <c r="D568" s="64" t="s">
        <v>373</v>
      </c>
      <c r="E568" s="65"/>
      <c r="F568" s="65"/>
      <c r="G568" s="97" t="s">
        <v>374</v>
      </c>
      <c r="H568" s="66" t="s">
        <v>375</v>
      </c>
      <c r="I568" s="67">
        <f>VLOOKUP(D568,A!A$1:V$767,22,FALSE)</f>
        <v>1</v>
      </c>
      <c r="J568" s="67"/>
      <c r="K568" s="68">
        <f>IF(VLOOKUP(D568,A!A$1:V$767,18,FALSE)="y",1,0)</f>
        <v>0</v>
      </c>
      <c r="L568" s="68">
        <f>IF(VLOOKUP(D568,A!A$1:V$767,19,FALSE)="y",1,0)</f>
        <v>0</v>
      </c>
      <c r="M568" s="706"/>
      <c r="N568" s="150">
        <f>VLOOKUP(D568,A!A$1:V$767,20,FALSE)</f>
        <v>0</v>
      </c>
      <c r="O568" s="93" t="s">
        <v>65</v>
      </c>
      <c r="P568" s="10">
        <f>VLOOKUP(D568,A!A$1:V$767,16,FALSE)</f>
        <v>0</v>
      </c>
      <c r="Q568" s="10" t="s">
        <v>782</v>
      </c>
      <c r="R568" s="10">
        <f t="shared" si="54"/>
        <v>0</v>
      </c>
      <c r="S568" s="10">
        <f>VLOOKUP(D568,A!A$1:AK$767,33,FALSE)</f>
        <v>60</v>
      </c>
      <c r="T568" s="10">
        <v>8.3000000000000004E-2</v>
      </c>
      <c r="U568" s="10">
        <f t="shared" si="55"/>
        <v>0</v>
      </c>
      <c r="X568" s="10"/>
    </row>
    <row r="569" spans="1:24" ht="11.25" hidden="1" customHeight="1" x14ac:dyDescent="0.25">
      <c r="A569" s="1" t="str">
        <f>IF(R569=0,"",COUNTIF(A$23:A568,"&gt;0")+1)</f>
        <v/>
      </c>
      <c r="B569" s="87"/>
      <c r="C569" s="63" t="s">
        <v>42</v>
      </c>
      <c r="D569" s="64" t="s">
        <v>758</v>
      </c>
      <c r="E569" s="65"/>
      <c r="F569" s="65"/>
      <c r="G569" s="96" t="s">
        <v>374</v>
      </c>
      <c r="H569" s="66" t="s">
        <v>380</v>
      </c>
      <c r="I569" s="67">
        <f>VLOOKUP(D569,A!A$1:V$767,22,FALSE)</f>
        <v>0</v>
      </c>
      <c r="J569" s="67"/>
      <c r="K569" s="68">
        <f>IF(VLOOKUP(D569,A!A$1:V$767,18,FALSE)="y",1,0)</f>
        <v>0</v>
      </c>
      <c r="L569" s="68">
        <f>IF(VLOOKUP(D569,A!A$1:V$767,19,FALSE)="y",1,0)</f>
        <v>0</v>
      </c>
      <c r="M569" s="706"/>
      <c r="N569" s="150">
        <f>VLOOKUP(D569,A!A$1:V$767,20,FALSE)</f>
        <v>0</v>
      </c>
      <c r="O569" s="93" t="s">
        <v>65</v>
      </c>
      <c r="P569" s="10">
        <f>VLOOKUP(D569,A!A$1:V$767,16,FALSE)</f>
        <v>0</v>
      </c>
      <c r="Q569" s="10" t="s">
        <v>782</v>
      </c>
      <c r="R569" s="10">
        <f t="shared" si="54"/>
        <v>0</v>
      </c>
      <c r="S569" s="10" t="str">
        <f>VLOOKUP(D569,A!A$1:AK$767,33,FALSE)</f>
        <v/>
      </c>
      <c r="T569" s="10">
        <v>8.3000000000000004E-2</v>
      </c>
      <c r="U569" s="10">
        <f t="shared" si="55"/>
        <v>0</v>
      </c>
      <c r="X569" s="10"/>
    </row>
    <row r="570" spans="1:24" ht="11.25" hidden="1" customHeight="1" x14ac:dyDescent="0.25">
      <c r="A570" s="1" t="str">
        <f>IF(R570=0,"",COUNTIF(A$23:A569,"&gt;0")+1)</f>
        <v/>
      </c>
      <c r="B570" s="87"/>
      <c r="C570" s="63" t="s">
        <v>42</v>
      </c>
      <c r="D570" s="64" t="s">
        <v>795</v>
      </c>
      <c r="E570" s="65"/>
      <c r="F570" s="65"/>
      <c r="G570" s="96" t="s">
        <v>382</v>
      </c>
      <c r="H570" s="66" t="s">
        <v>383</v>
      </c>
      <c r="I570" s="67">
        <f>VLOOKUP(D570,A!A$1:V$767,22,FALSE)</f>
        <v>2</v>
      </c>
      <c r="J570" s="67"/>
      <c r="K570" s="68">
        <f>IF(VLOOKUP(D570,A!A$1:V$767,18,FALSE)="y",1,0)</f>
        <v>0</v>
      </c>
      <c r="L570" s="68">
        <f>IF(VLOOKUP(D570,A!A$1:V$767,19,FALSE)="y",1,0)</f>
        <v>0</v>
      </c>
      <c r="M570" s="706"/>
      <c r="N570" s="150">
        <f>VLOOKUP(D570,A!A$1:V$767,20,FALSE)</f>
        <v>0</v>
      </c>
      <c r="O570" s="93">
        <v>2</v>
      </c>
      <c r="P570" s="10">
        <f>VLOOKUP(D570,A!A$1:V$767,16,FALSE)</f>
        <v>0</v>
      </c>
      <c r="Q570" s="10" t="s">
        <v>782</v>
      </c>
      <c r="R570" s="10">
        <f t="shared" si="54"/>
        <v>0</v>
      </c>
      <c r="S570" s="10">
        <f>VLOOKUP(D570,A!A$1:AK$767,33,FALSE)</f>
        <v>30</v>
      </c>
      <c r="T570" s="10">
        <v>8.3000000000000004E-2</v>
      </c>
      <c r="U570" s="10">
        <f t="shared" si="55"/>
        <v>0</v>
      </c>
      <c r="X570" s="10"/>
    </row>
    <row r="571" spans="1:24" ht="11.25" hidden="1" customHeight="1" x14ac:dyDescent="0.25">
      <c r="A571" s="1" t="str">
        <f>IF(R571=0,"",COUNTIF(A$23:A570,"&gt;0")+1)</f>
        <v/>
      </c>
      <c r="B571" s="87"/>
      <c r="C571" s="63" t="s">
        <v>42</v>
      </c>
      <c r="D571" s="64" t="s">
        <v>796</v>
      </c>
      <c r="E571" s="65"/>
      <c r="F571" s="65"/>
      <c r="G571" s="96" t="s">
        <v>427</v>
      </c>
      <c r="H571" s="66" t="s">
        <v>428</v>
      </c>
      <c r="I571" s="67">
        <f>VLOOKUP(D571,A!A$1:V$767,22,FALSE)</f>
        <v>0</v>
      </c>
      <c r="J571" s="67"/>
      <c r="K571" s="68">
        <f>IF(VLOOKUP(D571,A!A$1:V$767,18,FALSE)="y",1,0)</f>
        <v>0</v>
      </c>
      <c r="L571" s="68">
        <f>IF(VLOOKUP(D571,A!A$1:V$767,19,FALSE)="y",1,0)</f>
        <v>0</v>
      </c>
      <c r="M571" s="706"/>
      <c r="N571" s="150">
        <f>VLOOKUP(D571,A!A$1:V$767,20,FALSE)</f>
        <v>0</v>
      </c>
      <c r="O571" s="93">
        <v>2</v>
      </c>
      <c r="P571" s="10">
        <f>VLOOKUP(D571,A!A$1:V$767,16,FALSE)</f>
        <v>0</v>
      </c>
      <c r="Q571" s="10" t="s">
        <v>782</v>
      </c>
      <c r="R571" s="10">
        <f t="shared" si="54"/>
        <v>0</v>
      </c>
      <c r="S571" s="10" t="str">
        <f>VLOOKUP(D571,A!A$1:AK$767,33,FALSE)</f>
        <v/>
      </c>
      <c r="T571" s="10">
        <v>8.3000000000000004E-2</v>
      </c>
      <c r="U571" s="10">
        <f t="shared" si="55"/>
        <v>0</v>
      </c>
      <c r="X571" s="10"/>
    </row>
    <row r="572" spans="1:24" ht="11.25" hidden="1" customHeight="1" x14ac:dyDescent="0.25">
      <c r="A572" s="1" t="str">
        <f>IF(R572=0,"",COUNTIF(A$23:A571,"&gt;0")+1)</f>
        <v/>
      </c>
      <c r="B572" s="87"/>
      <c r="C572" s="63" t="s">
        <v>42</v>
      </c>
      <c r="D572" s="64" t="s">
        <v>797</v>
      </c>
      <c r="E572" s="65"/>
      <c r="F572" s="65"/>
      <c r="G572" s="96" t="s">
        <v>798</v>
      </c>
      <c r="H572" s="66" t="s">
        <v>799</v>
      </c>
      <c r="I572" s="67">
        <f>VLOOKUP(D572,A!A$1:V$767,22,FALSE)</f>
        <v>0</v>
      </c>
      <c r="J572" s="67" t="s">
        <v>63</v>
      </c>
      <c r="K572" s="68">
        <f>IF(VLOOKUP(D572,A!A$1:V$767,18,FALSE)="y",1,0)</f>
        <v>0</v>
      </c>
      <c r="L572" s="68">
        <f>IF(VLOOKUP(D572,A!A$1:V$767,19,FALSE)="y",1,0)</f>
        <v>0</v>
      </c>
      <c r="M572" s="706"/>
      <c r="N572" s="150">
        <f>VLOOKUP(D572,A!A$1:V$767,20,FALSE)</f>
        <v>0</v>
      </c>
      <c r="O572" s="93">
        <v>1</v>
      </c>
      <c r="P572" s="10">
        <f>VLOOKUP(D572,A!A$1:V$767,16,FALSE)</f>
        <v>0</v>
      </c>
      <c r="Q572" s="10" t="s">
        <v>782</v>
      </c>
      <c r="R572" s="10">
        <f t="shared" si="54"/>
        <v>0</v>
      </c>
      <c r="S572" s="10" t="str">
        <f>VLOOKUP(D572,A!A$1:AK$767,33,FALSE)</f>
        <v/>
      </c>
      <c r="T572" s="10">
        <v>8.3000000000000004E-2</v>
      </c>
      <c r="U572" s="10">
        <f t="shared" si="55"/>
        <v>0</v>
      </c>
      <c r="X572" s="10"/>
    </row>
    <row r="573" spans="1:24" ht="11.25" hidden="1" customHeight="1" x14ac:dyDescent="0.25">
      <c r="A573" s="1" t="str">
        <f>IF(R573=0,"",COUNTIF(A$23:A572,"&gt;0")+1)</f>
        <v/>
      </c>
      <c r="B573" s="87"/>
      <c r="C573" s="63" t="s">
        <v>42</v>
      </c>
      <c r="D573" s="64" t="s">
        <v>435</v>
      </c>
      <c r="E573" s="65"/>
      <c r="F573" s="65"/>
      <c r="G573" s="96" t="s">
        <v>436</v>
      </c>
      <c r="H573" s="66" t="s">
        <v>437</v>
      </c>
      <c r="I573" s="67">
        <f>VLOOKUP(D573,A!A$1:V$767,22,FALSE)</f>
        <v>0</v>
      </c>
      <c r="J573" s="67"/>
      <c r="K573" s="68">
        <f>IF(VLOOKUP(D573,A!A$1:V$767,18,FALSE)="y",1,0)</f>
        <v>0</v>
      </c>
      <c r="L573" s="68">
        <f>IF(VLOOKUP(D573,A!A$1:V$767,19,FALSE)="y",1,0)</f>
        <v>0</v>
      </c>
      <c r="M573" s="706"/>
      <c r="N573" s="150">
        <f>VLOOKUP(D573,A!A$1:V$767,20,FALSE)</f>
        <v>0</v>
      </c>
      <c r="O573" s="93">
        <v>2</v>
      </c>
      <c r="P573" s="10">
        <f>VLOOKUP(D573,A!A$1:V$767,16,FALSE)</f>
        <v>0</v>
      </c>
      <c r="Q573" s="10" t="s">
        <v>782</v>
      </c>
      <c r="R573" s="10">
        <f t="shared" si="54"/>
        <v>0</v>
      </c>
      <c r="S573" s="10" t="str">
        <f>VLOOKUP(D573,A!A$1:AK$767,33,FALSE)</f>
        <v/>
      </c>
      <c r="T573" s="10">
        <v>8.3000000000000004E-2</v>
      </c>
      <c r="U573" s="10">
        <f t="shared" si="55"/>
        <v>0</v>
      </c>
      <c r="X573" s="10"/>
    </row>
    <row r="574" spans="1:24" ht="11.25" hidden="1" customHeight="1" x14ac:dyDescent="0.25">
      <c r="A574" s="1" t="str">
        <f>IF(R574=0,"",COUNTIF(A$23:A573,"&gt;0")+1)</f>
        <v/>
      </c>
      <c r="B574" s="87"/>
      <c r="C574" s="63" t="s">
        <v>42</v>
      </c>
      <c r="D574" s="64" t="s">
        <v>461</v>
      </c>
      <c r="E574" s="65"/>
      <c r="F574" s="65"/>
      <c r="G574" s="96" t="s">
        <v>462</v>
      </c>
      <c r="H574" s="66" t="s">
        <v>463</v>
      </c>
      <c r="I574" s="67">
        <f>VLOOKUP(D574,A!A$1:V$767,22,FALSE)</f>
        <v>1</v>
      </c>
      <c r="J574" s="67"/>
      <c r="K574" s="68">
        <f>IF(VLOOKUP(D574,A!A$1:V$767,18,FALSE)="y",1,0)</f>
        <v>0</v>
      </c>
      <c r="L574" s="68">
        <f>IF(VLOOKUP(D574,A!A$1:V$767,19,FALSE)="y",1,0)</f>
        <v>0</v>
      </c>
      <c r="M574" s="706"/>
      <c r="N574" s="150">
        <f>VLOOKUP(D574,A!A$1:V$767,20,FALSE)</f>
        <v>0</v>
      </c>
      <c r="O574" s="93" t="s">
        <v>65</v>
      </c>
      <c r="P574" s="10">
        <f>VLOOKUP(D574,A!A$1:V$767,16,FALSE)</f>
        <v>0</v>
      </c>
      <c r="Q574" s="10" t="s">
        <v>782</v>
      </c>
      <c r="R574" s="10">
        <f t="shared" si="54"/>
        <v>0</v>
      </c>
      <c r="S574" s="10">
        <f>VLOOKUP(D574,A!A$1:AK$767,33,FALSE)</f>
        <v>45</v>
      </c>
      <c r="T574" s="10">
        <v>8.3000000000000004E-2</v>
      </c>
      <c r="U574" s="10">
        <f t="shared" si="55"/>
        <v>0</v>
      </c>
      <c r="X574" s="10"/>
    </row>
    <row r="575" spans="1:24" ht="11.25" hidden="1" customHeight="1" x14ac:dyDescent="0.25">
      <c r="A575" s="1" t="str">
        <f>IF(R575=0,"",COUNTIF(A$23:A574,"&gt;0")+1)</f>
        <v/>
      </c>
      <c r="B575" s="87"/>
      <c r="C575" s="63" t="s">
        <v>42</v>
      </c>
      <c r="D575" s="64" t="s">
        <v>476</v>
      </c>
      <c r="E575" s="65"/>
      <c r="F575" s="65"/>
      <c r="G575" s="96" t="s">
        <v>477</v>
      </c>
      <c r="H575" s="66" t="s">
        <v>478</v>
      </c>
      <c r="I575" s="67">
        <f>VLOOKUP(D575,A!A$1:V$767,22,FALSE)</f>
        <v>0</v>
      </c>
      <c r="J575" s="67"/>
      <c r="K575" s="68">
        <f>IF(VLOOKUP(D575,A!A$1:V$767,18,FALSE)="y",1,0)</f>
        <v>0</v>
      </c>
      <c r="L575" s="68">
        <f>IF(VLOOKUP(D575,A!A$1:V$767,19,FALSE)="y",1,0)</f>
        <v>0</v>
      </c>
      <c r="M575" s="706"/>
      <c r="N575" s="150">
        <f>VLOOKUP(D575,A!A$1:V$767,20,FALSE)</f>
        <v>0</v>
      </c>
      <c r="O575" s="93" t="s">
        <v>65</v>
      </c>
      <c r="P575" s="10">
        <f>VLOOKUP(D575,A!A$1:V$767,16,FALSE)</f>
        <v>0</v>
      </c>
      <c r="Q575" s="10" t="s">
        <v>782</v>
      </c>
      <c r="R575" s="10">
        <f t="shared" si="54"/>
        <v>0</v>
      </c>
      <c r="S575" s="10" t="str">
        <f>VLOOKUP(D575,A!A$1:AK$767,33,FALSE)</f>
        <v/>
      </c>
      <c r="T575" s="10">
        <v>8.3000000000000004E-2</v>
      </c>
      <c r="U575" s="10">
        <f t="shared" si="55"/>
        <v>0</v>
      </c>
      <c r="X575" s="10"/>
    </row>
    <row r="576" spans="1:24" ht="11.25" hidden="1" customHeight="1" x14ac:dyDescent="0.25">
      <c r="A576" s="1" t="str">
        <f>IF(R576=0,"",COUNTIF(A$23:A575,"&gt;0")+1)</f>
        <v/>
      </c>
      <c r="B576" s="87"/>
      <c r="C576" s="63" t="s">
        <v>42</v>
      </c>
      <c r="D576" s="64" t="s">
        <v>800</v>
      </c>
      <c r="E576" s="65"/>
      <c r="F576" s="65"/>
      <c r="G576" s="96" t="s">
        <v>484</v>
      </c>
      <c r="H576" s="66" t="s">
        <v>485</v>
      </c>
      <c r="I576" s="67">
        <f>VLOOKUP(D576,A!A$1:V$767,22,FALSE)</f>
        <v>2</v>
      </c>
      <c r="J576" s="67"/>
      <c r="K576" s="68">
        <f>IF(VLOOKUP(D576,A!A$1:V$767,18,FALSE)="y",1,0)</f>
        <v>0</v>
      </c>
      <c r="L576" s="68">
        <f>IF(VLOOKUP(D576,A!A$1:V$767,19,FALSE)="y",1,0)</f>
        <v>0</v>
      </c>
      <c r="M576" s="706"/>
      <c r="N576" s="150">
        <f>VLOOKUP(D576,A!A$1:V$767,20,FALSE)</f>
        <v>0</v>
      </c>
      <c r="O576" s="93" t="s">
        <v>65</v>
      </c>
      <c r="P576" s="10">
        <f>VLOOKUP(D576,A!A$1:V$767,16,FALSE)</f>
        <v>0</v>
      </c>
      <c r="Q576" s="10" t="s">
        <v>782</v>
      </c>
      <c r="R576" s="10">
        <f t="shared" si="54"/>
        <v>0</v>
      </c>
      <c r="S576" s="10">
        <f>VLOOKUP(D576,A!A$1:AK$767,33,FALSE)</f>
        <v>60</v>
      </c>
      <c r="T576" s="10">
        <v>8.3000000000000004E-2</v>
      </c>
      <c r="U576" s="10">
        <f t="shared" si="55"/>
        <v>0</v>
      </c>
      <c r="X576" s="10"/>
    </row>
    <row r="577" spans="1:24" ht="11.25" hidden="1" customHeight="1" x14ac:dyDescent="0.25">
      <c r="A577" s="1" t="str">
        <f>IF(R577=0,"",COUNTIF(A$23:A576,"&gt;0")+1)</f>
        <v/>
      </c>
      <c r="B577" s="87"/>
      <c r="C577" s="63" t="s">
        <v>42</v>
      </c>
      <c r="D577" s="64" t="s">
        <v>801</v>
      </c>
      <c r="E577" s="65" t="s">
        <v>762</v>
      </c>
      <c r="F577" s="65"/>
      <c r="G577" s="96" t="s">
        <v>768</v>
      </c>
      <c r="H577" s="66" t="s">
        <v>489</v>
      </c>
      <c r="I577" s="67">
        <f>VLOOKUP(D577,A!A$1:V$767,22,FALSE)</f>
        <v>0</v>
      </c>
      <c r="J577" s="67"/>
      <c r="K577" s="68">
        <f>IF(VLOOKUP(D577,A!A$1:V$767,18,FALSE)="y",1,0)</f>
        <v>0</v>
      </c>
      <c r="L577" s="68">
        <f>IF(VLOOKUP(D577,A!A$1:V$767,19,FALSE)="y",1,0)</f>
        <v>0</v>
      </c>
      <c r="M577" s="706"/>
      <c r="N577" s="150">
        <f>VLOOKUP(D577,A!A$1:V$767,20,FALSE)</f>
        <v>0</v>
      </c>
      <c r="O577" s="93" t="s">
        <v>65</v>
      </c>
      <c r="P577" s="10">
        <f>VLOOKUP(D577,A!A$1:V$767,16,FALSE)</f>
        <v>0</v>
      </c>
      <c r="Q577" s="10" t="s">
        <v>782</v>
      </c>
      <c r="R577" s="10">
        <f t="shared" si="54"/>
        <v>0</v>
      </c>
      <c r="S577" s="10" t="str">
        <f>VLOOKUP(D577,A!A$1:AK$767,33,FALSE)</f>
        <v/>
      </c>
      <c r="T577" s="10">
        <v>8.3000000000000004E-2</v>
      </c>
      <c r="U577" s="10">
        <f t="shared" si="55"/>
        <v>0</v>
      </c>
      <c r="X577" s="10"/>
    </row>
    <row r="578" spans="1:24" ht="11.25" hidden="1" customHeight="1" x14ac:dyDescent="0.25">
      <c r="A578" s="1" t="str">
        <f>IF(R578=0,"",COUNTIF(A$23:A577,"&gt;0")+1)</f>
        <v/>
      </c>
      <c r="B578" s="87"/>
      <c r="C578" s="63" t="s">
        <v>42</v>
      </c>
      <c r="D578" s="64" t="s">
        <v>490</v>
      </c>
      <c r="E578" s="65"/>
      <c r="F578" s="65"/>
      <c r="G578" s="96" t="s">
        <v>491</v>
      </c>
      <c r="H578" s="66" t="s">
        <v>492</v>
      </c>
      <c r="I578" s="67">
        <f>VLOOKUP(D578,A!A$1:V$767,22,FALSE)</f>
        <v>0</v>
      </c>
      <c r="J578" s="67"/>
      <c r="K578" s="68">
        <f>IF(VLOOKUP(D578,A!A$1:V$767,18,FALSE)="y",1,0)</f>
        <v>0</v>
      </c>
      <c r="L578" s="68">
        <f>IF(VLOOKUP(D578,A!A$1:V$767,19,FALSE)="y",1,0)</f>
        <v>0</v>
      </c>
      <c r="M578" s="706"/>
      <c r="N578" s="150">
        <f>VLOOKUP(D578,A!A$1:V$767,20,FALSE)</f>
        <v>0</v>
      </c>
      <c r="O578" s="93" t="s">
        <v>65</v>
      </c>
      <c r="P578" s="10">
        <f>VLOOKUP(D578,A!A$1:V$767,16,FALSE)</f>
        <v>0</v>
      </c>
      <c r="Q578" s="10" t="s">
        <v>782</v>
      </c>
      <c r="R578" s="10">
        <f t="shared" si="54"/>
        <v>0</v>
      </c>
      <c r="S578" s="10" t="str">
        <f>VLOOKUP(D578,A!A$1:AK$767,33,FALSE)</f>
        <v/>
      </c>
      <c r="T578" s="10">
        <v>8.3000000000000004E-2</v>
      </c>
      <c r="U578" s="10">
        <f t="shared" si="55"/>
        <v>0</v>
      </c>
      <c r="X578" s="10"/>
    </row>
    <row r="579" spans="1:24" ht="11.25" hidden="1" customHeight="1" x14ac:dyDescent="0.25">
      <c r="A579" s="1" t="str">
        <f>IF(R579=0,"",COUNTIF(A$23:A578,"&gt;0")+1)</f>
        <v/>
      </c>
      <c r="B579" s="87"/>
      <c r="C579" s="63" t="s">
        <v>42</v>
      </c>
      <c r="D579" s="64" t="s">
        <v>493</v>
      </c>
      <c r="E579" s="65"/>
      <c r="F579" s="65"/>
      <c r="G579" s="96" t="s">
        <v>494</v>
      </c>
      <c r="H579" s="90" t="s">
        <v>495</v>
      </c>
      <c r="I579" s="67">
        <f>VLOOKUP(D579,A!A$1:V$767,22,FALSE)</f>
        <v>2</v>
      </c>
      <c r="J579" s="67"/>
      <c r="K579" s="68">
        <f>IF(VLOOKUP(D579,A!A$1:V$767,18,FALSE)="y",1,0)</f>
        <v>0</v>
      </c>
      <c r="L579" s="68">
        <f>IF(VLOOKUP(D579,A!A$1:V$767,19,FALSE)="y",1,0)</f>
        <v>0</v>
      </c>
      <c r="M579" s="706"/>
      <c r="N579" s="150">
        <f>VLOOKUP(D579,A!A$1:V$767,20,FALSE)</f>
        <v>0</v>
      </c>
      <c r="O579" s="93">
        <v>2</v>
      </c>
      <c r="P579" s="10">
        <f>VLOOKUP(D579,A!A$1:V$767,16,FALSE)</f>
        <v>0</v>
      </c>
      <c r="Q579" s="10" t="s">
        <v>782</v>
      </c>
      <c r="R579" s="10">
        <f t="shared" si="54"/>
        <v>0</v>
      </c>
      <c r="S579" s="10">
        <f>VLOOKUP(D579,A!A$1:AK$767,33,FALSE)</f>
        <v>60</v>
      </c>
      <c r="T579" s="10">
        <v>8.3000000000000004E-2</v>
      </c>
      <c r="U579" s="10">
        <f t="shared" si="55"/>
        <v>0</v>
      </c>
      <c r="X579" s="10"/>
    </row>
    <row r="580" spans="1:24" ht="11.25" hidden="1" customHeight="1" x14ac:dyDescent="0.25">
      <c r="A580" s="1" t="str">
        <f>IF(R580=0,"",COUNTIF(A$23:A579,"&gt;0")+1)</f>
        <v/>
      </c>
      <c r="B580" s="87"/>
      <c r="C580" s="63" t="s">
        <v>42</v>
      </c>
      <c r="D580" s="64" t="s">
        <v>802</v>
      </c>
      <c r="E580" s="65"/>
      <c r="F580" s="65"/>
      <c r="G580" s="96" t="s">
        <v>497</v>
      </c>
      <c r="H580" s="66" t="s">
        <v>498</v>
      </c>
      <c r="I580" s="67">
        <f>VLOOKUP(D580,A!A$1:V$767,22,FALSE)</f>
        <v>2</v>
      </c>
      <c r="J580" s="67" t="s">
        <v>63</v>
      </c>
      <c r="K580" s="68">
        <f>IF(VLOOKUP(D580,A!A$1:V$767,18,FALSE)="y",1,0)</f>
        <v>0</v>
      </c>
      <c r="L580" s="68">
        <f>IF(VLOOKUP(D580,A!A$1:V$767,19,FALSE)="y",1,0)</f>
        <v>0</v>
      </c>
      <c r="M580" s="711"/>
      <c r="N580" s="67">
        <f>VLOOKUP(D580,A!A$1:V$767,20,FALSE)</f>
        <v>0</v>
      </c>
      <c r="O580" s="93" t="s">
        <v>73</v>
      </c>
      <c r="P580" s="10">
        <f>VLOOKUP(D580,A!A$1:V$767,16,FALSE)</f>
        <v>0</v>
      </c>
      <c r="Q580" s="10" t="s">
        <v>782</v>
      </c>
      <c r="R580" s="10">
        <f t="shared" si="54"/>
        <v>0</v>
      </c>
      <c r="S580" s="10">
        <f>VLOOKUP(D580,A!A$1:AK$767,33,FALSE)</f>
        <v>60</v>
      </c>
      <c r="T580" s="10">
        <v>8.3000000000000004E-2</v>
      </c>
      <c r="U580" s="10">
        <f t="shared" si="55"/>
        <v>0</v>
      </c>
      <c r="X580" s="10"/>
    </row>
    <row r="581" spans="1:24" ht="11.25" customHeight="1" thickBot="1" x14ac:dyDescent="0.3">
      <c r="A581" s="1" t="str">
        <f>IF(R581=0,"",COUNTIF(A$23:A580,"&gt;0")+1)</f>
        <v/>
      </c>
      <c r="B581" s="209"/>
      <c r="C581" s="100" t="s">
        <v>42</v>
      </c>
      <c r="D581" s="210" t="s">
        <v>499</v>
      </c>
      <c r="E581" s="102"/>
      <c r="F581" s="102"/>
      <c r="G581" s="103" t="s">
        <v>500</v>
      </c>
      <c r="H581" s="104" t="s">
        <v>803</v>
      </c>
      <c r="I581" s="105">
        <f>VLOOKUP(D581,A!A$1:V$767,22,FALSE)</f>
        <v>1</v>
      </c>
      <c r="J581" s="105"/>
      <c r="K581" s="68">
        <f>IF(VLOOKUP(D581,A!A$1:V$767,18,FALSE)="y",1,0)</f>
        <v>1</v>
      </c>
      <c r="L581" s="68">
        <f>IF(VLOOKUP(D581,A!A$1:V$767,19,FALSE)="y",1,0)</f>
        <v>0</v>
      </c>
      <c r="M581" s="743"/>
      <c r="N581" s="105">
        <f>VLOOKUP(D581,A!A$1:V$767,20,FALSE)</f>
        <v>0</v>
      </c>
      <c r="O581" s="108" t="s">
        <v>73</v>
      </c>
      <c r="P581" s="10" t="str">
        <f>VLOOKUP(D581,A!A$1:V$767,16,FALSE)</f>
        <v>y</v>
      </c>
      <c r="Q581" s="10" t="s">
        <v>782</v>
      </c>
      <c r="R581" s="10">
        <f t="shared" si="54"/>
        <v>0</v>
      </c>
      <c r="S581" s="10">
        <f>VLOOKUP(D581,A!A$1:AK$767,33,FALSE)</f>
        <v>60</v>
      </c>
      <c r="T581" s="10">
        <v>8.3000000000000004E-2</v>
      </c>
      <c r="U581" s="10">
        <f t="shared" si="55"/>
        <v>0</v>
      </c>
      <c r="X581" s="10"/>
    </row>
    <row r="582" spans="1:24" ht="12" customHeight="1" x14ac:dyDescent="0.25">
      <c r="A582" s="1" t="str">
        <f>IF(R582=0,"",COUNTIF(A$23:A581,"&gt;0")+1)</f>
        <v/>
      </c>
      <c r="B582" s="109">
        <f>SUM(B514:B581)</f>
        <v>0</v>
      </c>
      <c r="C582" s="110" t="s">
        <v>42</v>
      </c>
      <c r="D582" s="111" t="s">
        <v>804</v>
      </c>
      <c r="E582" s="112"/>
      <c r="F582" s="112"/>
      <c r="G582" s="112"/>
      <c r="H582" s="112"/>
      <c r="I582" s="112"/>
      <c r="J582" s="112"/>
      <c r="K582" s="112"/>
      <c r="L582" s="112"/>
      <c r="M582" s="212"/>
      <c r="N582" s="112"/>
      <c r="O582" s="113"/>
      <c r="P582" s="10"/>
      <c r="Q582" s="10" t="s">
        <v>782</v>
      </c>
      <c r="R582" s="10">
        <f t="shared" si="54"/>
        <v>0</v>
      </c>
      <c r="S582" s="10"/>
      <c r="T582" s="10"/>
      <c r="U582" s="10"/>
      <c r="X582" s="10"/>
    </row>
    <row r="583" spans="1:24" ht="6" customHeight="1" thickBot="1" x14ac:dyDescent="0.3">
      <c r="A583" s="1" t="str">
        <f>IF(R583=0,"",COUNTIF(A$23:A582,"&gt;0")+1)</f>
        <v/>
      </c>
      <c r="P583" s="10"/>
      <c r="Q583" s="10"/>
      <c r="R583" s="10"/>
      <c r="S583" s="10"/>
      <c r="T583" s="10"/>
      <c r="U583" s="10"/>
      <c r="X583" s="10"/>
    </row>
    <row r="584" spans="1:24" ht="9" hidden="1" customHeight="1" thickBot="1" x14ac:dyDescent="0.3">
      <c r="A584" s="1" t="str">
        <f>IF(R584=0,"",COUNTIF(A$23:A583,"&gt;0")+1)</f>
        <v/>
      </c>
      <c r="B584" s="1191" t="s">
        <v>41</v>
      </c>
      <c r="C584" s="1191"/>
      <c r="D584" s="1110" t="s">
        <v>805</v>
      </c>
      <c r="E584" s="1110"/>
      <c r="F584" s="1110"/>
      <c r="G584" s="1110"/>
      <c r="H584" s="1110"/>
      <c r="I584" s="69" t="s">
        <v>806</v>
      </c>
      <c r="J584" s="69"/>
      <c r="K584" s="69"/>
      <c r="L584" s="69"/>
      <c r="M584" s="69"/>
      <c r="N584" s="69"/>
      <c r="O584" s="70"/>
      <c r="P584" s="10"/>
      <c r="Q584" s="10"/>
      <c r="R584" s="10"/>
      <c r="S584" s="10"/>
      <c r="T584" s="10"/>
      <c r="U584" s="10"/>
      <c r="X584" s="10"/>
    </row>
    <row r="585" spans="1:24" ht="9" hidden="1" customHeight="1" thickBot="1" x14ac:dyDescent="0.3">
      <c r="A585" s="1" t="str">
        <f>IF(R585=0,"",COUNTIF(A$23:A584,"&gt;0")+1)</f>
        <v/>
      </c>
      <c r="B585" s="1109" t="s">
        <v>774</v>
      </c>
      <c r="C585" s="1109"/>
      <c r="D585" s="1110"/>
      <c r="E585" s="1110"/>
      <c r="F585" s="1110"/>
      <c r="G585" s="1110"/>
      <c r="H585" s="1110"/>
      <c r="I585" s="171" t="s">
        <v>47</v>
      </c>
      <c r="J585" s="172"/>
      <c r="K585" s="172"/>
      <c r="L585" s="172"/>
      <c r="M585" s="171"/>
      <c r="N585" s="172"/>
      <c r="O585" s="226" t="s">
        <v>48</v>
      </c>
      <c r="P585" s="10"/>
      <c r="Q585" s="10"/>
      <c r="R585" s="10"/>
      <c r="S585" s="10"/>
      <c r="T585" s="10"/>
      <c r="U585" s="10"/>
      <c r="X585" s="10"/>
    </row>
    <row r="586" spans="1:24" ht="11.25" hidden="1" customHeight="1" x14ac:dyDescent="0.25">
      <c r="A586" s="1" t="str">
        <f>IF(R586=0,"",COUNTIF(A$23:A585,"&gt;0")+1)</f>
        <v/>
      </c>
      <c r="B586" s="76"/>
      <c r="C586" s="77" t="s">
        <v>42</v>
      </c>
      <c r="D586" s="204" t="s">
        <v>52</v>
      </c>
      <c r="E586" s="79"/>
      <c r="F586" s="79"/>
      <c r="G586" s="205" t="s">
        <v>781</v>
      </c>
      <c r="H586" s="206" t="s">
        <v>54</v>
      </c>
      <c r="I586" s="207"/>
      <c r="J586" s="83"/>
      <c r="K586" s="84">
        <f>IF(VLOOKUP(D586,A!A$1:AC$767,25,FALSE)="y",1,0)</f>
        <v>0</v>
      </c>
      <c r="L586" s="84">
        <f>IF(VLOOKUP(D586,A!A$1:AC$767,26,FALSE)="y",1,0)</f>
        <v>0</v>
      </c>
      <c r="M586" s="85" t="str">
        <f>IF(VLOOKUP(D586,A!A$1:AC$767,24,FALSE)="y","NEW","")</f>
        <v/>
      </c>
      <c r="N586" s="83">
        <f>VLOOKUP(D586,A!A$1:AC$767,27,FALSE)</f>
        <v>0</v>
      </c>
      <c r="O586" s="86" t="s">
        <v>73</v>
      </c>
      <c r="P586" s="10">
        <f>VLOOKUP(D586,A!A$1:AC$767,23,FALSE)</f>
        <v>0</v>
      </c>
      <c r="Q586" s="10" t="s">
        <v>807</v>
      </c>
      <c r="R586" s="10">
        <f t="shared" ref="R586:R600" si="58">B586</f>
        <v>0</v>
      </c>
      <c r="S586" s="10">
        <f>VLOOKUP(D586,A!A$1:AK$767,34,FALSE)</f>
        <v>45</v>
      </c>
      <c r="T586" s="10">
        <v>0.1</v>
      </c>
      <c r="U586" s="10">
        <f t="shared" ref="U586:U599" si="59">T586*B586</f>
        <v>0</v>
      </c>
      <c r="X586" s="10"/>
    </row>
    <row r="587" spans="1:24" ht="11.25" hidden="1" customHeight="1" x14ac:dyDescent="0.25">
      <c r="A587" s="1" t="str">
        <f>IF(R587=0,"",COUNTIF(A$23:A586,"&gt;0")+1)</f>
        <v/>
      </c>
      <c r="B587" s="87"/>
      <c r="C587" s="63" t="s">
        <v>42</v>
      </c>
      <c r="D587" s="64" t="s">
        <v>77</v>
      </c>
      <c r="E587" s="65"/>
      <c r="F587" s="65"/>
      <c r="G587" s="96" t="s">
        <v>78</v>
      </c>
      <c r="H587" s="66" t="s">
        <v>79</v>
      </c>
      <c r="I587" s="67">
        <f>VLOOKUP(D587,A!A$1:AC$767,29,FALSE)</f>
        <v>0</v>
      </c>
      <c r="J587" s="67"/>
      <c r="K587" s="68">
        <f>IF(VLOOKUP(D587,A!A$1:AC$767,25,FALSE)="y",1,0)</f>
        <v>0</v>
      </c>
      <c r="L587" s="68">
        <f>IF(VLOOKUP(D587,A!A$1:AC$767,26,FALSE)="y",1,0)</f>
        <v>0</v>
      </c>
      <c r="M587" s="92" t="str">
        <f>IF(VLOOKUP(D587,A!A$1:AC$767,24,FALSE)="y","NEW","")</f>
        <v/>
      </c>
      <c r="N587" s="67">
        <f>VLOOKUP(D587,A!A$1:AC$767,27,FALSE)</f>
        <v>0</v>
      </c>
      <c r="O587" s="93" t="s">
        <v>73</v>
      </c>
      <c r="P587" s="10">
        <f>VLOOKUP(D587,A!A$1:AC$767,23,FALSE)</f>
        <v>0</v>
      </c>
      <c r="Q587" s="10" t="s">
        <v>807</v>
      </c>
      <c r="R587" s="10">
        <f t="shared" si="58"/>
        <v>0</v>
      </c>
      <c r="S587" s="10" t="str">
        <f>VLOOKUP(D587,A!A$1:AK$767,34,FALSE)</f>
        <v/>
      </c>
      <c r="T587" s="10">
        <v>0.1</v>
      </c>
      <c r="U587" s="10">
        <f t="shared" si="59"/>
        <v>0</v>
      </c>
      <c r="X587" s="10"/>
    </row>
    <row r="588" spans="1:24" ht="11.25" hidden="1" customHeight="1" x14ac:dyDescent="0.25">
      <c r="A588" s="1" t="str">
        <f>IF(R588=0,"",COUNTIF(A$23:A587,"&gt;0")+1)</f>
        <v/>
      </c>
      <c r="B588" s="87"/>
      <c r="C588" s="63" t="s">
        <v>42</v>
      </c>
      <c r="D588" s="64" t="s">
        <v>808</v>
      </c>
      <c r="E588" s="65"/>
      <c r="F588" s="65"/>
      <c r="G588" s="96" t="s">
        <v>111</v>
      </c>
      <c r="H588" s="66" t="s">
        <v>112</v>
      </c>
      <c r="I588" s="67">
        <f>VLOOKUP(D588,A!A$1:AC$767,29,FALSE)</f>
        <v>1</v>
      </c>
      <c r="J588" s="67" t="s">
        <v>63</v>
      </c>
      <c r="K588" s="68">
        <f>IF(VLOOKUP(D588,A!A$1:AC$767,25,FALSE)="y",1,0)</f>
        <v>0</v>
      </c>
      <c r="L588" s="68">
        <f>IF(VLOOKUP(D588,A!A$1:AC$767,26,FALSE)="y",1,0)</f>
        <v>0</v>
      </c>
      <c r="M588" s="92" t="str">
        <f>IF(VLOOKUP(D588,A!A$1:AC$767,24,FALSE)="y","NEW","")</f>
        <v/>
      </c>
      <c r="N588" s="67">
        <f>VLOOKUP(D588,A!A$1:AC$767,27,FALSE)</f>
        <v>0</v>
      </c>
      <c r="O588" s="93" t="s">
        <v>73</v>
      </c>
      <c r="P588" s="10">
        <f>VLOOKUP(D588,A!A$1:AC$767,23,FALSE)</f>
        <v>0</v>
      </c>
      <c r="Q588" s="10" t="s">
        <v>807</v>
      </c>
      <c r="R588" s="10">
        <f t="shared" si="58"/>
        <v>0</v>
      </c>
      <c r="S588" s="10">
        <f>VLOOKUP(D588,A!A$1:AK$767,34,FALSE)</f>
        <v>45</v>
      </c>
      <c r="T588" s="10">
        <v>0.1</v>
      </c>
      <c r="U588" s="10">
        <f t="shared" si="59"/>
        <v>0</v>
      </c>
      <c r="X588" s="10"/>
    </row>
    <row r="589" spans="1:24" ht="11.25" hidden="1" customHeight="1" x14ac:dyDescent="0.25">
      <c r="A589" s="1" t="str">
        <f>IF(R589=0,"",COUNTIF(A$23:A588,"&gt;0")+1)</f>
        <v/>
      </c>
      <c r="B589" s="87"/>
      <c r="C589" s="63" t="s">
        <v>42</v>
      </c>
      <c r="D589" s="64" t="s">
        <v>213</v>
      </c>
      <c r="E589" s="65"/>
      <c r="F589" s="65"/>
      <c r="G589" s="96" t="s">
        <v>214</v>
      </c>
      <c r="H589" s="66" t="s">
        <v>215</v>
      </c>
      <c r="I589" s="67">
        <f>VLOOKUP(D589,A!A$1:AC$767,29,FALSE)</f>
        <v>0</v>
      </c>
      <c r="J589" s="67"/>
      <c r="K589" s="68">
        <f>IF(VLOOKUP(D589,A!A$1:AC$767,25,FALSE)="y",1,0)</f>
        <v>0</v>
      </c>
      <c r="L589" s="68">
        <f>IF(VLOOKUP(D589,A!A$1:AC$767,26,FALSE)="y",1,0)</f>
        <v>0</v>
      </c>
      <c r="M589" s="92" t="str">
        <f>IF(VLOOKUP(D589,A!A$1:AC$767,24,FALSE)="y","NEW","")</f>
        <v/>
      </c>
      <c r="N589" s="67">
        <f>VLOOKUP(D589,A!A$1:AC$767,27,FALSE)</f>
        <v>0</v>
      </c>
      <c r="O589" s="93" t="s">
        <v>73</v>
      </c>
      <c r="P589" s="10">
        <f>VLOOKUP(D589,A!A$1:AC$767,23,FALSE)</f>
        <v>0</v>
      </c>
      <c r="Q589" s="10" t="s">
        <v>807</v>
      </c>
      <c r="R589" s="10">
        <f t="shared" si="58"/>
        <v>0</v>
      </c>
      <c r="S589" s="10" t="str">
        <f>VLOOKUP(D589,A!A$1:AK$767,34,FALSE)</f>
        <v/>
      </c>
      <c r="T589" s="10">
        <v>0.1</v>
      </c>
      <c r="U589" s="10">
        <f t="shared" si="59"/>
        <v>0</v>
      </c>
      <c r="X589" s="10"/>
    </row>
    <row r="590" spans="1:24" ht="11.25" hidden="1" customHeight="1" x14ac:dyDescent="0.25">
      <c r="A590" s="1" t="str">
        <f>IF(R590=0,"",COUNTIF(A$23:A589,"&gt;0")+1)</f>
        <v/>
      </c>
      <c r="B590" s="87"/>
      <c r="C590" s="63" t="s">
        <v>42</v>
      </c>
      <c r="D590" s="64" t="s">
        <v>809</v>
      </c>
      <c r="E590" s="65"/>
      <c r="F590" s="65"/>
      <c r="G590" s="96" t="s">
        <v>810</v>
      </c>
      <c r="H590" s="66" t="s">
        <v>811</v>
      </c>
      <c r="I590" s="67">
        <f>VLOOKUP(D590,A!A$1:AC$767,29,FALSE)</f>
        <v>0</v>
      </c>
      <c r="J590" s="67"/>
      <c r="K590" s="68">
        <f>IF(VLOOKUP(D590,A!A$1:AC$767,25,FALSE)="y",1,0)</f>
        <v>0</v>
      </c>
      <c r="L590" s="68">
        <f>IF(VLOOKUP(D590,A!A$1:AC$767,26,FALSE)="y",1,0)</f>
        <v>0</v>
      </c>
      <c r="M590" s="92" t="str">
        <f>IF(VLOOKUP(D590,A!A$1:AC$767,24,FALSE)="y","NEW","")</f>
        <v/>
      </c>
      <c r="N590" s="67">
        <f>VLOOKUP(D590,A!A$1:AC$767,27,FALSE)</f>
        <v>0</v>
      </c>
      <c r="O590" s="93" t="s">
        <v>73</v>
      </c>
      <c r="P590" s="10">
        <f>VLOOKUP(D590,A!A$1:AC$767,23,FALSE)</f>
        <v>0</v>
      </c>
      <c r="Q590" s="10" t="s">
        <v>807</v>
      </c>
      <c r="R590" s="10">
        <f t="shared" si="58"/>
        <v>0</v>
      </c>
      <c r="S590" s="10" t="str">
        <f>VLOOKUP(D590,A!A$1:AK$767,34,FALSE)</f>
        <v/>
      </c>
      <c r="T590" s="10">
        <v>0.1</v>
      </c>
      <c r="U590" s="10">
        <f t="shared" si="59"/>
        <v>0</v>
      </c>
      <c r="X590" s="10"/>
    </row>
    <row r="591" spans="1:24" ht="11.25" hidden="1" customHeight="1" x14ac:dyDescent="0.25">
      <c r="A591" s="1" t="str">
        <f>IF(R591=0,"",COUNTIF(A$23:A590,"&gt;0")+1)</f>
        <v/>
      </c>
      <c r="B591" s="87"/>
      <c r="C591" s="63" t="s">
        <v>42</v>
      </c>
      <c r="D591" s="64" t="s">
        <v>231</v>
      </c>
      <c r="E591" s="65"/>
      <c r="F591" s="65"/>
      <c r="G591" s="96" t="s">
        <v>232</v>
      </c>
      <c r="H591" s="66" t="s">
        <v>233</v>
      </c>
      <c r="I591" s="67">
        <f>VLOOKUP(D591,A!A$1:AC$767,29,FALSE)</f>
        <v>1</v>
      </c>
      <c r="J591" s="67" t="s">
        <v>63</v>
      </c>
      <c r="K591" s="68">
        <f>IF(VLOOKUP(D591,A!A$1:AC$767,25,FALSE)="y",1,0)</f>
        <v>0</v>
      </c>
      <c r="L591" s="68">
        <f>IF(VLOOKUP(D591,A!A$1:AC$767,26,FALSE)="y",1,0)</f>
        <v>0</v>
      </c>
      <c r="M591" s="92" t="str">
        <f>IF(VLOOKUP(D591,A!A$1:AC$767,24,FALSE)="y","NEW","")</f>
        <v/>
      </c>
      <c r="N591" s="67">
        <f>VLOOKUP(D591,A!A$1:AC$767,27,FALSE)</f>
        <v>0</v>
      </c>
      <c r="O591" s="93" t="s">
        <v>65</v>
      </c>
      <c r="P591" s="10">
        <f>VLOOKUP(D591,A!A$1:AC$767,23,FALSE)</f>
        <v>0</v>
      </c>
      <c r="Q591" s="10" t="s">
        <v>807</v>
      </c>
      <c r="R591" s="10">
        <f t="shared" si="58"/>
        <v>0</v>
      </c>
      <c r="S591" s="10">
        <f>VLOOKUP(D591,A!A$1:AK$767,34,FALSE)</f>
        <v>45</v>
      </c>
      <c r="T591" s="10">
        <v>0.1</v>
      </c>
      <c r="U591" s="10">
        <f t="shared" si="59"/>
        <v>0</v>
      </c>
      <c r="X591" s="10"/>
    </row>
    <row r="592" spans="1:24" ht="11.25" hidden="1" customHeight="1" x14ac:dyDescent="0.25">
      <c r="A592" s="1" t="str">
        <f>IF(R592=0,"",COUNTIF(A$23:A591,"&gt;0")+1)</f>
        <v/>
      </c>
      <c r="B592" s="87"/>
      <c r="C592" s="63" t="s">
        <v>42</v>
      </c>
      <c r="D592" s="64" t="s">
        <v>261</v>
      </c>
      <c r="E592" s="65"/>
      <c r="F592" s="65"/>
      <c r="G592" s="96" t="s">
        <v>259</v>
      </c>
      <c r="H592" s="66" t="s">
        <v>262</v>
      </c>
      <c r="I592" s="67">
        <f>VLOOKUP(D592,A!A$1:AC$767,29,FALSE)</f>
        <v>0</v>
      </c>
      <c r="J592" s="67"/>
      <c r="K592" s="68">
        <f>IF(VLOOKUP(D592,A!A$1:AC$767,25,FALSE)="y",1,0)</f>
        <v>0</v>
      </c>
      <c r="L592" s="68">
        <f>IF(VLOOKUP(D592,A!A$1:AC$767,26,FALSE)="y",1,0)</f>
        <v>0</v>
      </c>
      <c r="M592" s="92" t="str">
        <f>IF(VLOOKUP(D592,A!A$1:AC$767,24,FALSE)="y","NEW","")</f>
        <v/>
      </c>
      <c r="N592" s="67">
        <f>VLOOKUP(D592,A!A$1:AC$767,27,FALSE)</f>
        <v>0</v>
      </c>
      <c r="O592" s="93">
        <v>2</v>
      </c>
      <c r="P592" s="10">
        <f>VLOOKUP(D592,A!A$1:AC$767,23,FALSE)</f>
        <v>0</v>
      </c>
      <c r="Q592" s="10" t="s">
        <v>807</v>
      </c>
      <c r="R592" s="10">
        <f t="shared" si="58"/>
        <v>0</v>
      </c>
      <c r="S592" s="10" t="str">
        <f>VLOOKUP(D592,A!A$1:AK$767,34,FALSE)</f>
        <v/>
      </c>
      <c r="T592" s="10">
        <v>0.1</v>
      </c>
      <c r="U592" s="10">
        <f t="shared" si="59"/>
        <v>0</v>
      </c>
      <c r="X592" s="10"/>
    </row>
    <row r="593" spans="1:24" ht="11.25" hidden="1" customHeight="1" x14ac:dyDescent="0.25">
      <c r="A593" s="1" t="str">
        <f>IF(R593=0,"",COUNTIF(A$23:A592,"&gt;0")+1)</f>
        <v/>
      </c>
      <c r="B593" s="87"/>
      <c r="C593" s="63" t="s">
        <v>42</v>
      </c>
      <c r="D593" s="64" t="s">
        <v>330</v>
      </c>
      <c r="E593" s="65"/>
      <c r="F593" s="65"/>
      <c r="G593" s="96" t="s">
        <v>331</v>
      </c>
      <c r="H593" s="66" t="s">
        <v>332</v>
      </c>
      <c r="I593" s="67">
        <f>VLOOKUP(D593,A!A$1:AC$767,29,FALSE)</f>
        <v>0</v>
      </c>
      <c r="J593" s="67" t="s">
        <v>63</v>
      </c>
      <c r="K593" s="68">
        <f>IF(VLOOKUP(D593,A!A$1:AC$767,25,FALSE)="y",1,0)</f>
        <v>0</v>
      </c>
      <c r="L593" s="68">
        <f>IF(VLOOKUP(D593,A!A$1:AC$767,26,FALSE)="y",1,0)</f>
        <v>0</v>
      </c>
      <c r="M593" s="92" t="str">
        <f>IF(VLOOKUP(D593,A!A$1:AC$767,24,FALSE)="y","NEW","")</f>
        <v/>
      </c>
      <c r="N593" s="67">
        <f>VLOOKUP(D593,A!A$1:AC$767,27,FALSE)</f>
        <v>0</v>
      </c>
      <c r="O593" s="93" t="s">
        <v>65</v>
      </c>
      <c r="P593" s="10">
        <f>VLOOKUP(D593,A!A$1:AC$767,23,FALSE)</f>
        <v>0</v>
      </c>
      <c r="Q593" s="10" t="s">
        <v>807</v>
      </c>
      <c r="R593" s="10">
        <f t="shared" si="58"/>
        <v>0</v>
      </c>
      <c r="S593" s="10" t="str">
        <f>VLOOKUP(D593,A!A$1:AK$767,34,FALSE)</f>
        <v/>
      </c>
      <c r="T593" s="10">
        <v>0.1</v>
      </c>
      <c r="U593" s="10">
        <f t="shared" si="59"/>
        <v>0</v>
      </c>
      <c r="X593" s="10"/>
    </row>
    <row r="594" spans="1:24" ht="11.25" hidden="1" customHeight="1" x14ac:dyDescent="0.25">
      <c r="A594" s="1" t="str">
        <f>IF(R594=0,"",COUNTIF(A$23:A593,"&gt;0")+1)</f>
        <v/>
      </c>
      <c r="B594" s="87"/>
      <c r="C594" s="63" t="s">
        <v>42</v>
      </c>
      <c r="D594" s="64" t="s">
        <v>455</v>
      </c>
      <c r="E594" s="65"/>
      <c r="F594" s="65"/>
      <c r="G594" s="96" t="s">
        <v>456</v>
      </c>
      <c r="H594" s="66" t="s">
        <v>457</v>
      </c>
      <c r="I594" s="67">
        <f>VLOOKUP(D594,A!A$1:AC$767,29,FALSE)</f>
        <v>0</v>
      </c>
      <c r="J594" s="67"/>
      <c r="K594" s="68">
        <f>IF(VLOOKUP(D594,A!A$1:AC$767,25,FALSE)="y",1,0)</f>
        <v>0</v>
      </c>
      <c r="L594" s="68">
        <f>IF(VLOOKUP(D594,A!A$1:AC$767,26,FALSE)="y",1,0)</f>
        <v>0</v>
      </c>
      <c r="M594" s="92" t="str">
        <f>IF(VLOOKUP(D594,A!A$1:AC$767,24,FALSE)="y","NEW","")</f>
        <v/>
      </c>
      <c r="N594" s="67">
        <f>VLOOKUP(D594,A!A$1:AC$767,27,FALSE)</f>
        <v>0</v>
      </c>
      <c r="O594" s="93" t="s">
        <v>65</v>
      </c>
      <c r="P594" s="10">
        <f>VLOOKUP(D594,A!A$1:AC$767,23,FALSE)</f>
        <v>0</v>
      </c>
      <c r="Q594" s="10" t="s">
        <v>807</v>
      </c>
      <c r="R594" s="10">
        <f t="shared" si="58"/>
        <v>0</v>
      </c>
      <c r="S594" s="10" t="str">
        <f>VLOOKUP(D594,A!A$1:AK$767,34,FALSE)</f>
        <v/>
      </c>
      <c r="T594" s="10">
        <v>0.1</v>
      </c>
      <c r="U594" s="10">
        <f t="shared" si="59"/>
        <v>0</v>
      </c>
      <c r="X594" s="10"/>
    </row>
    <row r="595" spans="1:24" ht="11.25" hidden="1" customHeight="1" x14ac:dyDescent="0.25">
      <c r="A595" s="1" t="str">
        <f>IF(R595=0,"",COUNTIF(A$23:A594,"&gt;0")+1)</f>
        <v/>
      </c>
      <c r="B595" s="87"/>
      <c r="C595" s="63" t="s">
        <v>42</v>
      </c>
      <c r="D595" s="64" t="s">
        <v>461</v>
      </c>
      <c r="E595" s="65"/>
      <c r="F595" s="65"/>
      <c r="G595" s="96" t="s">
        <v>462</v>
      </c>
      <c r="H595" s="66" t="s">
        <v>463</v>
      </c>
      <c r="I595" s="67">
        <f>VLOOKUP(D595,A!A$1:AC$767,29,FALSE)</f>
        <v>0</v>
      </c>
      <c r="J595" s="67"/>
      <c r="K595" s="68">
        <f>IF(VLOOKUP(D595,A!A$1:AC$767,25,FALSE)="y",1,0)</f>
        <v>0</v>
      </c>
      <c r="L595" s="68">
        <f>IF(VLOOKUP(D595,A!A$1:AC$767,26,FALSE)="y",1,0)</f>
        <v>0</v>
      </c>
      <c r="M595" s="92" t="str">
        <f>IF(VLOOKUP(D595,A!A$1:AC$767,24,FALSE)="y","NEW","")</f>
        <v/>
      </c>
      <c r="N595" s="67">
        <f>VLOOKUP(D595,A!A$1:AC$767,27,FALSE)</f>
        <v>0</v>
      </c>
      <c r="O595" s="93" t="s">
        <v>65</v>
      </c>
      <c r="P595" s="10">
        <f>VLOOKUP(D595,A!A$1:AC$767,23,FALSE)</f>
        <v>0</v>
      </c>
      <c r="Q595" s="10" t="s">
        <v>807</v>
      </c>
      <c r="R595" s="10">
        <f t="shared" si="58"/>
        <v>0</v>
      </c>
      <c r="S595" s="10" t="str">
        <f>VLOOKUP(D595,A!A$1:AK$767,34,FALSE)</f>
        <v/>
      </c>
      <c r="T595" s="10">
        <v>0.1</v>
      </c>
      <c r="U595" s="10">
        <f t="shared" si="59"/>
        <v>0</v>
      </c>
      <c r="X595" s="10"/>
    </row>
    <row r="596" spans="1:24" ht="11.25" hidden="1" customHeight="1" x14ac:dyDescent="0.25">
      <c r="A596" s="1" t="str">
        <f>IF(R596=0,"",COUNTIF(A$23:A595,"&gt;0")+1)</f>
        <v/>
      </c>
      <c r="B596" s="87"/>
      <c r="C596" s="63" t="s">
        <v>42</v>
      </c>
      <c r="D596" s="64" t="s">
        <v>464</v>
      </c>
      <c r="E596" s="65"/>
      <c r="F596" s="65"/>
      <c r="G596" s="96" t="s">
        <v>465</v>
      </c>
      <c r="H596" s="66" t="s">
        <v>466</v>
      </c>
      <c r="I596" s="67">
        <f>VLOOKUP(D596,A!A$1:AC$767,29,FALSE)</f>
        <v>0</v>
      </c>
      <c r="J596" s="67"/>
      <c r="K596" s="68">
        <f>IF(VLOOKUP(D596,A!A$1:AC$767,25,FALSE)="y",1,0)</f>
        <v>0</v>
      </c>
      <c r="L596" s="68">
        <f>IF(VLOOKUP(D596,A!A$1:AC$767,26,FALSE)="y",1,0)</f>
        <v>0</v>
      </c>
      <c r="M596" s="92" t="str">
        <f>IF(VLOOKUP(D596,A!A$1:AC$767,24,FALSE)="y","NEW","")</f>
        <v/>
      </c>
      <c r="N596" s="67">
        <f>VLOOKUP(D596,A!A$1:AC$767,27,FALSE)</f>
        <v>0</v>
      </c>
      <c r="O596" s="93" t="s">
        <v>73</v>
      </c>
      <c r="P596" s="10">
        <f>VLOOKUP(D596,A!A$1:AC$767,23,FALSE)</f>
        <v>0</v>
      </c>
      <c r="Q596" s="10" t="s">
        <v>807</v>
      </c>
      <c r="R596" s="10">
        <f t="shared" si="58"/>
        <v>0</v>
      </c>
      <c r="S596" s="10" t="str">
        <f>VLOOKUP(D596,A!A$1:AK$767,34,FALSE)</f>
        <v/>
      </c>
      <c r="T596" s="10">
        <v>0.1</v>
      </c>
      <c r="U596" s="10">
        <f t="shared" si="59"/>
        <v>0</v>
      </c>
      <c r="X596" s="10"/>
    </row>
    <row r="597" spans="1:24" ht="11.25" hidden="1" customHeight="1" x14ac:dyDescent="0.25">
      <c r="A597" s="1" t="str">
        <f>IF(R597=0,"",COUNTIF(A$23:A596,"&gt;0")+1)</f>
        <v/>
      </c>
      <c r="B597" s="87"/>
      <c r="C597" s="63" t="s">
        <v>42</v>
      </c>
      <c r="D597" s="64" t="s">
        <v>476</v>
      </c>
      <c r="E597" s="65"/>
      <c r="F597" s="65"/>
      <c r="G597" s="96" t="s">
        <v>477</v>
      </c>
      <c r="H597" s="66" t="s">
        <v>478</v>
      </c>
      <c r="I597" s="67">
        <f>VLOOKUP(D597,A!A$1:AC$767,29,FALSE)</f>
        <v>0</v>
      </c>
      <c r="J597" s="67"/>
      <c r="K597" s="68">
        <f>IF(VLOOKUP(D597,A!A$1:AC$767,25,FALSE)="y",1,0)</f>
        <v>0</v>
      </c>
      <c r="L597" s="68">
        <f>IF(VLOOKUP(D597,A!A$1:AC$767,26,FALSE)="y",1,0)</f>
        <v>0</v>
      </c>
      <c r="M597" s="92" t="str">
        <f>IF(VLOOKUP(D597,A!A$1:AC$767,24,FALSE)="y","NEW","")</f>
        <v/>
      </c>
      <c r="N597" s="67">
        <f>VLOOKUP(D597,A!A$1:AC$767,27,FALSE)</f>
        <v>0</v>
      </c>
      <c r="O597" s="93" t="s">
        <v>65</v>
      </c>
      <c r="P597" s="10">
        <f>VLOOKUP(D597,A!A$1:AC$767,23,FALSE)</f>
        <v>0</v>
      </c>
      <c r="Q597" s="10" t="s">
        <v>807</v>
      </c>
      <c r="R597" s="10">
        <f t="shared" si="58"/>
        <v>0</v>
      </c>
      <c r="S597" s="10" t="str">
        <f>VLOOKUP(D597,A!A$1:AK$767,34,FALSE)</f>
        <v/>
      </c>
      <c r="T597" s="10">
        <v>0.1</v>
      </c>
      <c r="U597" s="10">
        <f t="shared" si="59"/>
        <v>0</v>
      </c>
      <c r="X597" s="10"/>
    </row>
    <row r="598" spans="1:24" ht="11.25" hidden="1" customHeight="1" x14ac:dyDescent="0.25">
      <c r="A598" s="1" t="str">
        <f>IF(R598=0,"",COUNTIF(A$23:A597,"&gt;0")+1)</f>
        <v/>
      </c>
      <c r="B598" s="87"/>
      <c r="C598" s="63" t="s">
        <v>42</v>
      </c>
      <c r="D598" s="64" t="s">
        <v>487</v>
      </c>
      <c r="E598" s="65"/>
      <c r="F598" s="65"/>
      <c r="G598" s="96" t="s">
        <v>768</v>
      </c>
      <c r="H598" s="66" t="s">
        <v>489</v>
      </c>
      <c r="I598" s="67">
        <f>VLOOKUP(D598,A!A$1:AC$767,29,FALSE)</f>
        <v>0</v>
      </c>
      <c r="J598" s="67" t="s">
        <v>63</v>
      </c>
      <c r="K598" s="68">
        <f>IF(VLOOKUP(D598,A!A$1:AC$767,25,FALSE)="y",1,0)</f>
        <v>0</v>
      </c>
      <c r="L598" s="68">
        <f>IF(VLOOKUP(D598,A!A$1:AC$767,26,FALSE)="y",1,0)</f>
        <v>0</v>
      </c>
      <c r="M598" s="92" t="str">
        <f>IF(VLOOKUP(D598,A!A$1:AC$767,24,FALSE)="y","NEW","")</f>
        <v/>
      </c>
      <c r="N598" s="67">
        <f>VLOOKUP(D598,A!A$1:AC$767,27,FALSE)</f>
        <v>0</v>
      </c>
      <c r="O598" s="93" t="s">
        <v>65</v>
      </c>
      <c r="P598" s="10">
        <f>VLOOKUP(D598,A!A$1:AC$767,23,FALSE)</f>
        <v>0</v>
      </c>
      <c r="Q598" s="10" t="s">
        <v>807</v>
      </c>
      <c r="R598" s="10">
        <f t="shared" si="58"/>
        <v>0</v>
      </c>
      <c r="S598" s="10" t="str">
        <f>VLOOKUP(D598,A!A$1:AK$767,34,FALSE)</f>
        <v/>
      </c>
      <c r="T598" s="10">
        <v>0.1</v>
      </c>
      <c r="U598" s="10">
        <f t="shared" si="59"/>
        <v>0</v>
      </c>
      <c r="X598" s="10"/>
    </row>
    <row r="599" spans="1:24" ht="11.25" hidden="1" customHeight="1" thickBot="1" x14ac:dyDescent="0.3">
      <c r="A599" s="1" t="str">
        <f>IF(R599=0,"",COUNTIF(A$23:A598,"&gt;0")+1)</f>
        <v/>
      </c>
      <c r="B599" s="209"/>
      <c r="C599" s="100" t="s">
        <v>42</v>
      </c>
      <c r="D599" s="210" t="s">
        <v>812</v>
      </c>
      <c r="E599" s="102"/>
      <c r="F599" s="102"/>
      <c r="G599" s="211" t="s">
        <v>494</v>
      </c>
      <c r="H599" s="104" t="s">
        <v>495</v>
      </c>
      <c r="I599" s="105">
        <f>VLOOKUP(D599,A!A$1:AC$767,29,FALSE)</f>
        <v>0</v>
      </c>
      <c r="J599" s="105"/>
      <c r="K599" s="106">
        <f>IF(VLOOKUP(D599,A!A$1:AC$767,25,FALSE)="y",1,0)</f>
        <v>0</v>
      </c>
      <c r="L599" s="106">
        <f>IF(VLOOKUP(D599,A!A$1:AC$767,26,FALSE)="y",1,0)</f>
        <v>0</v>
      </c>
      <c r="M599" s="107" t="str">
        <f>IF(VLOOKUP(D599,A!A$1:AC$767,24,FALSE)="y","NEW","")</f>
        <v/>
      </c>
      <c r="N599" s="105">
        <f>VLOOKUP(D599,A!A$1:AC$767,27,FALSE)</f>
        <v>0</v>
      </c>
      <c r="O599" s="108">
        <v>2</v>
      </c>
      <c r="P599" s="10">
        <f>VLOOKUP(D599,A!A$1:AC$767,23,FALSE)</f>
        <v>0</v>
      </c>
      <c r="Q599" s="10" t="s">
        <v>807</v>
      </c>
      <c r="R599" s="10">
        <f t="shared" si="58"/>
        <v>0</v>
      </c>
      <c r="S599" s="10" t="str">
        <f>VLOOKUP(D599,A!A$1:AK$767,34,FALSE)</f>
        <v/>
      </c>
      <c r="T599" s="10">
        <v>0.1</v>
      </c>
      <c r="U599" s="10">
        <f t="shared" si="59"/>
        <v>0</v>
      </c>
      <c r="X599" s="10"/>
    </row>
    <row r="600" spans="1:24" hidden="1" x14ac:dyDescent="0.25">
      <c r="A600" s="1" t="str">
        <f>IF(R600=0,"",COUNTIF(A$23:A599,"&gt;0")+1)</f>
        <v/>
      </c>
      <c r="B600" s="109">
        <f>SUM(B586:B599)</f>
        <v>0</v>
      </c>
      <c r="C600" s="110" t="s">
        <v>42</v>
      </c>
      <c r="D600" s="111" t="s">
        <v>813</v>
      </c>
      <c r="E600" s="112"/>
      <c r="F600" s="112"/>
      <c r="G600" s="112"/>
      <c r="H600" s="112"/>
      <c r="I600" s="112"/>
      <c r="J600" s="112"/>
      <c r="K600" s="112"/>
      <c r="L600" s="112"/>
      <c r="M600" s="212"/>
      <c r="N600" s="112"/>
      <c r="O600" s="113"/>
      <c r="P600" s="10"/>
      <c r="Q600" s="10" t="s">
        <v>807</v>
      </c>
      <c r="R600" s="10">
        <f t="shared" si="58"/>
        <v>0</v>
      </c>
      <c r="S600" s="10"/>
      <c r="T600" s="10"/>
      <c r="U600" s="10"/>
      <c r="X600" s="10"/>
    </row>
    <row r="601" spans="1:24" ht="10.5" hidden="1" customHeight="1" thickBot="1" x14ac:dyDescent="0.3">
      <c r="A601" s="1" t="str">
        <f>IF(R601=0,"",COUNTIF(A$23:A600,"&gt;0")+1)</f>
        <v/>
      </c>
      <c r="P601" s="10"/>
      <c r="Q601" s="10"/>
      <c r="R601" s="10"/>
      <c r="S601" s="10"/>
      <c r="T601" s="10"/>
      <c r="U601" s="10"/>
      <c r="X601" s="10"/>
    </row>
    <row r="602" spans="1:24" ht="9" customHeight="1" thickBot="1" x14ac:dyDescent="0.3">
      <c r="A602" s="1" t="str">
        <f>IF(R602=0,"",COUNTIF(A$23:A601,"&gt;0")+1)</f>
        <v/>
      </c>
      <c r="B602" s="1203" t="s">
        <v>41</v>
      </c>
      <c r="C602" s="1203"/>
      <c r="D602" s="1110" t="s">
        <v>814</v>
      </c>
      <c r="E602" s="1110"/>
      <c r="F602" s="1110"/>
      <c r="G602" s="1110"/>
      <c r="H602" s="1136" t="s">
        <v>815</v>
      </c>
      <c r="I602" s="69"/>
      <c r="J602" s="69"/>
      <c r="K602" s="69"/>
      <c r="L602" s="69"/>
      <c r="M602" s="69"/>
      <c r="N602" s="69"/>
      <c r="O602" s="70"/>
      <c r="P602" s="10"/>
      <c r="Q602" s="10"/>
      <c r="R602" s="10"/>
      <c r="S602" s="10"/>
      <c r="T602" s="10"/>
      <c r="U602" s="10"/>
      <c r="X602" s="10"/>
    </row>
    <row r="603" spans="1:24" ht="9" customHeight="1" thickBot="1" x14ac:dyDescent="0.3">
      <c r="A603" s="1" t="str">
        <f>IF(R603=0,"",COUNTIF(A$23:A602,"&gt;0")+1)</f>
        <v/>
      </c>
      <c r="B603" s="1109" t="s">
        <v>774</v>
      </c>
      <c r="C603" s="1109"/>
      <c r="D603" s="1110"/>
      <c r="E603" s="1110"/>
      <c r="F603" s="1110"/>
      <c r="G603" s="1110"/>
      <c r="H603" s="1136"/>
      <c r="I603" s="73" t="s">
        <v>47</v>
      </c>
      <c r="J603" s="72"/>
      <c r="K603" s="72"/>
      <c r="L603" s="72"/>
      <c r="M603" s="73"/>
      <c r="N603" s="72"/>
      <c r="O603" s="74" t="s">
        <v>48</v>
      </c>
      <c r="P603" s="10"/>
      <c r="Q603" s="10"/>
      <c r="R603" s="10"/>
      <c r="S603" s="10"/>
      <c r="T603" s="10"/>
      <c r="U603" s="10"/>
      <c r="X603" s="10"/>
    </row>
    <row r="604" spans="1:24" ht="11.25" customHeight="1" x14ac:dyDescent="0.25">
      <c r="A604" s="1" t="str">
        <f>IF(R604=0,"",COUNTIF(A$23:A603,"&gt;0")+1)</f>
        <v/>
      </c>
      <c r="B604" s="76"/>
      <c r="C604" s="77" t="s">
        <v>42</v>
      </c>
      <c r="D604" s="204" t="s">
        <v>816</v>
      </c>
      <c r="E604" s="79"/>
      <c r="F604" s="79"/>
      <c r="G604" s="227"/>
      <c r="H604" s="206" t="s">
        <v>817</v>
      </c>
      <c r="I604" s="83">
        <f>VLOOKUP(D604,A!A$1:H$767,8,FALSE)</f>
        <v>1</v>
      </c>
      <c r="J604" s="83"/>
      <c r="K604" s="84">
        <f>IF(VLOOKUP(D604,A!A$1:H$767,4,FALSE)="y",1,0)</f>
        <v>1</v>
      </c>
      <c r="L604" s="84">
        <f>IF(VLOOKUP(D604,A!A$1:H$767,5,FALSE)="y",1,0)</f>
        <v>1</v>
      </c>
      <c r="M604" s="85"/>
      <c r="N604" s="83">
        <f>VLOOKUP(D604,A!A$1:H$767,6,FALSE)</f>
        <v>0</v>
      </c>
      <c r="O604" s="86">
        <v>3</v>
      </c>
      <c r="P604" s="10" t="str">
        <f>VLOOKUP(D604,A!A$1:G$767,2,FALSE)</f>
        <v>y</v>
      </c>
      <c r="Q604" s="10" t="s">
        <v>818</v>
      </c>
      <c r="R604" s="10">
        <f t="shared" ref="R604:R615" si="60">B604</f>
        <v>0</v>
      </c>
      <c r="S604" s="10">
        <f>VLOOKUP(D604,A!A$1:AK$767,31,FALSE)</f>
        <v>45</v>
      </c>
      <c r="T604" s="10">
        <v>0.125</v>
      </c>
      <c r="U604" s="10">
        <f t="shared" ref="U604:U614" si="61">T604*B604</f>
        <v>0</v>
      </c>
      <c r="X604" s="10"/>
    </row>
    <row r="605" spans="1:24" ht="11.25" customHeight="1" thickBot="1" x14ac:dyDescent="0.3">
      <c r="A605" s="1" t="str">
        <f>IF(R605=0,"",COUNTIF(A$23:A604,"&gt;0")+1)</f>
        <v/>
      </c>
      <c r="B605" s="87"/>
      <c r="C605" s="63" t="s">
        <v>42</v>
      </c>
      <c r="D605" s="64" t="s">
        <v>819</v>
      </c>
      <c r="E605" s="65"/>
      <c r="F605" s="65"/>
      <c r="G605" s="228"/>
      <c r="H605" s="66" t="s">
        <v>820</v>
      </c>
      <c r="I605" s="67">
        <f>VLOOKUP(D605,A!A$1:H$767,8,FALSE)</f>
        <v>1</v>
      </c>
      <c r="J605" s="67"/>
      <c r="K605" s="68">
        <f>IF(VLOOKUP(D605,A!A$1:H$767,4,FALSE)="y",1,0)</f>
        <v>1</v>
      </c>
      <c r="L605" s="68">
        <f>IF(VLOOKUP(D605,A!A$1:H$767,5,FALSE)="y",1,0)</f>
        <v>1</v>
      </c>
      <c r="M605" s="711"/>
      <c r="N605" s="67">
        <f>VLOOKUP(D605,A!A$1:H$767,6,FALSE)</f>
        <v>0</v>
      </c>
      <c r="O605" s="93">
        <v>3</v>
      </c>
      <c r="P605" s="10" t="str">
        <f>VLOOKUP(D605,A!A$1:G$767,2,FALSE)</f>
        <v>y</v>
      </c>
      <c r="Q605" s="10" t="s">
        <v>818</v>
      </c>
      <c r="R605" s="10">
        <f t="shared" si="60"/>
        <v>0</v>
      </c>
      <c r="S605" s="10">
        <f>VLOOKUP(D605,A!A$1:AK$767,31,FALSE)</f>
        <v>45</v>
      </c>
      <c r="T605" s="10">
        <v>0.125</v>
      </c>
      <c r="U605" s="10">
        <f t="shared" si="61"/>
        <v>0</v>
      </c>
      <c r="X605" s="10"/>
    </row>
    <row r="606" spans="1:24" ht="11.25" hidden="1" customHeight="1" x14ac:dyDescent="0.25">
      <c r="A606" s="1" t="str">
        <f>IF(R606=0,"",COUNTIF(A$23:A605,"&gt;0")+1)</f>
        <v/>
      </c>
      <c r="B606" s="87"/>
      <c r="C606" s="63" t="s">
        <v>42</v>
      </c>
      <c r="D606" s="64" t="s">
        <v>821</v>
      </c>
      <c r="E606" s="65"/>
      <c r="F606" s="65"/>
      <c r="G606" s="228"/>
      <c r="H606" s="66" t="s">
        <v>822</v>
      </c>
      <c r="I606" s="67">
        <f>VLOOKUP(D606,A!A$1:H$767,8,FALSE)</f>
        <v>2</v>
      </c>
      <c r="J606" s="67"/>
      <c r="K606" s="68">
        <f>IF(VLOOKUP(D606,A!A$1:H$767,4,FALSE)="y",1,0)</f>
        <v>0</v>
      </c>
      <c r="L606" s="68">
        <f>IF(VLOOKUP(D606,A!A$1:H$767,5,FALSE)="y",1,0)</f>
        <v>0</v>
      </c>
      <c r="M606" s="711"/>
      <c r="N606" s="67">
        <f>VLOOKUP(D606,A!A$1:H$767,6,FALSE)</f>
        <v>0</v>
      </c>
      <c r="O606" s="93">
        <v>3</v>
      </c>
      <c r="P606" s="10">
        <f>VLOOKUP(D606,A!A$1:G$767,2,FALSE)</f>
        <v>0</v>
      </c>
      <c r="Q606" s="10" t="s">
        <v>818</v>
      </c>
      <c r="R606" s="10">
        <f t="shared" si="60"/>
        <v>0</v>
      </c>
      <c r="S606" s="10">
        <f>VLOOKUP(D606,A!A$1:AK$767,31,FALSE)</f>
        <v>45</v>
      </c>
      <c r="T606" s="10">
        <v>0.125</v>
      </c>
      <c r="U606" s="10">
        <f t="shared" si="61"/>
        <v>0</v>
      </c>
      <c r="X606" s="10"/>
    </row>
    <row r="607" spans="1:24" ht="11.25" hidden="1" customHeight="1" x14ac:dyDescent="0.25">
      <c r="A607" s="1" t="str">
        <f>IF(R607=0,"",COUNTIF(A$23:A606,"&gt;0")+1)</f>
        <v/>
      </c>
      <c r="B607" s="87"/>
      <c r="C607" s="63" t="s">
        <v>42</v>
      </c>
      <c r="D607" s="64" t="s">
        <v>823</v>
      </c>
      <c r="E607" s="65"/>
      <c r="F607" s="65"/>
      <c r="G607" s="228"/>
      <c r="H607" s="66" t="s">
        <v>824</v>
      </c>
      <c r="I607" s="67">
        <f>VLOOKUP(D607,A!A$1:H$767,8,FALSE)</f>
        <v>2</v>
      </c>
      <c r="J607" s="67" t="s">
        <v>63</v>
      </c>
      <c r="K607" s="68">
        <f>IF(VLOOKUP(D607,A!A$1:H$767,4,FALSE)="y",1,0)</f>
        <v>0</v>
      </c>
      <c r="L607" s="68">
        <f>IF(VLOOKUP(D607,A!A$1:H$767,5,FALSE)="y",1,0)</f>
        <v>0</v>
      </c>
      <c r="M607" s="711"/>
      <c r="N607" s="67">
        <f>VLOOKUP(D607,A!A$1:H$767,6,FALSE)</f>
        <v>0</v>
      </c>
      <c r="O607" s="93">
        <v>3</v>
      </c>
      <c r="P607" s="10">
        <f>VLOOKUP(D607,A!A$1:G$767,2,FALSE)</f>
        <v>0</v>
      </c>
      <c r="Q607" s="10" t="s">
        <v>818</v>
      </c>
      <c r="R607" s="10">
        <f t="shared" si="60"/>
        <v>0</v>
      </c>
      <c r="S607" s="10">
        <f>VLOOKUP(D607,A!A$1:AK$767,31,FALSE)</f>
        <v>45</v>
      </c>
      <c r="T607" s="10">
        <v>0.125</v>
      </c>
      <c r="U607" s="10">
        <f t="shared" si="61"/>
        <v>0</v>
      </c>
      <c r="X607" s="10"/>
    </row>
    <row r="608" spans="1:24" ht="11.25" hidden="1" customHeight="1" x14ac:dyDescent="0.25">
      <c r="A608" s="1" t="str">
        <f>IF(R608=0,"",COUNTIF(A$23:A607,"&gt;0")+1)</f>
        <v/>
      </c>
      <c r="B608" s="87"/>
      <c r="C608" s="63" t="s">
        <v>42</v>
      </c>
      <c r="D608" s="64" t="s">
        <v>825</v>
      </c>
      <c r="E608" s="65"/>
      <c r="F608" s="65"/>
      <c r="G608" s="229" t="s">
        <v>551</v>
      </c>
      <c r="H608" s="66" t="s">
        <v>552</v>
      </c>
      <c r="I608" s="67">
        <f>VLOOKUP(D608,A!A$1:H$767,8,FALSE)</f>
        <v>2</v>
      </c>
      <c r="J608" s="67" t="s">
        <v>63</v>
      </c>
      <c r="K608" s="68">
        <f>IF(VLOOKUP(D608,A!A$1:H$767,4,FALSE)="y",1,0)</f>
        <v>0</v>
      </c>
      <c r="L608" s="68">
        <f>IF(VLOOKUP(D608,A!A$1:H$767,5,FALSE)="y",1,0)</f>
        <v>0</v>
      </c>
      <c r="M608" s="92" t="str">
        <f>IF(VLOOKUP(D608,A!A$1:H$767,3,FALSE)="y","NEW","")</f>
        <v/>
      </c>
      <c r="N608" s="67">
        <f>VLOOKUP(D608,A!A$1:H$767,6,FALSE)</f>
        <v>0</v>
      </c>
      <c r="O608" s="93" t="s">
        <v>65</v>
      </c>
      <c r="P608" s="10">
        <f>VLOOKUP(D608,A!A$1:G$767,2,FALSE)</f>
        <v>0</v>
      </c>
      <c r="Q608" s="10" t="s">
        <v>818</v>
      </c>
      <c r="R608" s="10">
        <f t="shared" si="60"/>
        <v>0</v>
      </c>
      <c r="S608" s="10">
        <f>VLOOKUP(D608,A!A$1:AK$767,31,FALSE)</f>
        <v>45</v>
      </c>
      <c r="T608" s="10">
        <v>0.125</v>
      </c>
      <c r="U608" s="10">
        <f t="shared" si="61"/>
        <v>0</v>
      </c>
      <c r="X608" s="10"/>
    </row>
    <row r="609" spans="1:24" ht="11.25" hidden="1" customHeight="1" x14ac:dyDescent="0.25">
      <c r="A609" s="1" t="str">
        <f>IF(R609=0,"",COUNTIF(A$23:A608,"&gt;0")+1)</f>
        <v/>
      </c>
      <c r="B609" s="87"/>
      <c r="C609" s="63" t="s">
        <v>42</v>
      </c>
      <c r="D609" s="64" t="s">
        <v>826</v>
      </c>
      <c r="E609" s="65"/>
      <c r="F609" s="65"/>
      <c r="G609" s="229"/>
      <c r="H609" s="66" t="s">
        <v>209</v>
      </c>
      <c r="I609" s="67">
        <f>VLOOKUP(D609,A!A$1:H$767,8,FALSE)</f>
        <v>2</v>
      </c>
      <c r="J609" s="67"/>
      <c r="K609" s="68">
        <f>IF(VLOOKUP(D609,A!A$1:H$767,4,FALSE)="y",1,0)</f>
        <v>0</v>
      </c>
      <c r="L609" s="68">
        <f>IF(VLOOKUP(D609,A!A$1:H$767,5,FALSE)="y",1,0)</f>
        <v>0</v>
      </c>
      <c r="M609" s="92" t="str">
        <f>IF(VLOOKUP(D609,A!A$1:H$767,3,FALSE)="y","NEW","")</f>
        <v/>
      </c>
      <c r="N609" s="67">
        <f>VLOOKUP(D609,A!A$1:H$767,6,FALSE)</f>
        <v>0</v>
      </c>
      <c r="O609" s="93">
        <v>3</v>
      </c>
      <c r="P609" s="10">
        <f>VLOOKUP(D609,A!A$1:G$767,2,FALSE)</f>
        <v>0</v>
      </c>
      <c r="Q609" s="10" t="s">
        <v>818</v>
      </c>
      <c r="R609" s="10">
        <f t="shared" si="60"/>
        <v>0</v>
      </c>
      <c r="S609" s="10">
        <f>VLOOKUP(D609,A!A$1:AK$767,31,FALSE)</f>
        <v>45</v>
      </c>
      <c r="T609" s="10">
        <v>0.125</v>
      </c>
      <c r="U609" s="10">
        <f t="shared" si="61"/>
        <v>0</v>
      </c>
      <c r="X609" s="10"/>
    </row>
    <row r="610" spans="1:24" ht="11.25" hidden="1" customHeight="1" x14ac:dyDescent="0.25">
      <c r="A610" s="1" t="str">
        <f>IF(R610=0,"",COUNTIF(A$23:A609,"&gt;0")+1)</f>
        <v/>
      </c>
      <c r="B610" s="87"/>
      <c r="C610" s="63" t="s">
        <v>42</v>
      </c>
      <c r="D610" s="64" t="s">
        <v>827</v>
      </c>
      <c r="E610" s="65"/>
      <c r="F610" s="65"/>
      <c r="G610" s="229"/>
      <c r="H610" s="66" t="s">
        <v>212</v>
      </c>
      <c r="I610" s="67">
        <f>VLOOKUP(D610,A!A$1:H$767,8,FALSE)</f>
        <v>2</v>
      </c>
      <c r="J610" s="67"/>
      <c r="K610" s="68">
        <f>IF(VLOOKUP(D610,A!A$1:H$767,4,FALSE)="y",1,0)</f>
        <v>0</v>
      </c>
      <c r="L610" s="68">
        <f>IF(VLOOKUP(D610,A!A$1:H$767,5,FALSE)="y",1,0)</f>
        <v>0</v>
      </c>
      <c r="M610" s="92" t="str">
        <f>IF(VLOOKUP(D610,A!A$1:H$767,3,FALSE)="y","NEW","")</f>
        <v/>
      </c>
      <c r="N610" s="67">
        <f>VLOOKUP(D610,A!A$1:H$767,6,FALSE)</f>
        <v>0</v>
      </c>
      <c r="O610" s="93">
        <v>3</v>
      </c>
      <c r="P610" s="10">
        <f>VLOOKUP(D610,A!A$1:G$767,2,FALSE)</f>
        <v>0</v>
      </c>
      <c r="Q610" s="10" t="s">
        <v>818</v>
      </c>
      <c r="R610" s="10">
        <f t="shared" si="60"/>
        <v>0</v>
      </c>
      <c r="S610" s="10">
        <f>VLOOKUP(D610,A!A$1:AK$767,31,FALSE)</f>
        <v>45</v>
      </c>
      <c r="T610" s="10">
        <v>0.125</v>
      </c>
      <c r="U610" s="10">
        <f t="shared" si="61"/>
        <v>0</v>
      </c>
      <c r="X610" s="10"/>
    </row>
    <row r="611" spans="1:24" ht="11.25" hidden="1" customHeight="1" x14ac:dyDescent="0.25">
      <c r="A611" s="1" t="str">
        <f>IF(R611=0,"",COUNTIF(A$23:A610,"&gt;0")+1)</f>
        <v/>
      </c>
      <c r="B611" s="87"/>
      <c r="C611" s="63" t="s">
        <v>42</v>
      </c>
      <c r="D611" s="64" t="s">
        <v>828</v>
      </c>
      <c r="E611" s="65"/>
      <c r="F611" s="65"/>
      <c r="G611" s="229"/>
      <c r="H611" s="66" t="s">
        <v>288</v>
      </c>
      <c r="I611" s="67">
        <f>VLOOKUP(D611,A!A$1:H$767,8,FALSE)</f>
        <v>1</v>
      </c>
      <c r="J611" s="67"/>
      <c r="K611" s="68">
        <f>IF(VLOOKUP(D611,A!A$1:H$767,4,FALSE)="y",1,0)</f>
        <v>0</v>
      </c>
      <c r="L611" s="68">
        <f>IF(VLOOKUP(D611,A!A$1:H$767,5,FALSE)="y",1,0)</f>
        <v>0</v>
      </c>
      <c r="M611" s="711" t="str">
        <f>IF(VLOOKUP(D611,A!A$1:H$767,3,FALSE)="y","NEW","")</f>
        <v/>
      </c>
      <c r="N611" s="67">
        <f>VLOOKUP(D611,A!A$1:H$767,6,FALSE)</f>
        <v>0</v>
      </c>
      <c r="O611" s="93">
        <v>3</v>
      </c>
      <c r="P611" s="10">
        <f>VLOOKUP(D611,A!A$1:G$767,2,FALSE)</f>
        <v>0</v>
      </c>
      <c r="Q611" s="10" t="s">
        <v>818</v>
      </c>
      <c r="R611" s="10">
        <f t="shared" si="60"/>
        <v>0</v>
      </c>
      <c r="S611" s="10">
        <f>VLOOKUP(D611,A!A$1:AK$767,31,FALSE)</f>
        <v>45</v>
      </c>
      <c r="T611" s="10">
        <v>0.125</v>
      </c>
      <c r="U611" s="10">
        <f t="shared" si="61"/>
        <v>0</v>
      </c>
      <c r="X611" s="10"/>
    </row>
    <row r="612" spans="1:24" ht="11.25" hidden="1" customHeight="1" x14ac:dyDescent="0.25">
      <c r="A612" s="1" t="str">
        <f>IF(R612=0,"",COUNTIF(A$23:A611,"&gt;0")+1)</f>
        <v/>
      </c>
      <c r="B612" s="87"/>
      <c r="C612" s="63" t="s">
        <v>42</v>
      </c>
      <c r="D612" s="64" t="s">
        <v>829</v>
      </c>
      <c r="E612" s="65"/>
      <c r="F612" s="65"/>
      <c r="G612" s="229"/>
      <c r="H612" s="66" t="s">
        <v>347</v>
      </c>
      <c r="I612" s="67">
        <f>VLOOKUP(D612,A!A$1:H$767,8,FALSE)</f>
        <v>2</v>
      </c>
      <c r="J612" s="67"/>
      <c r="K612" s="68">
        <f>IF(VLOOKUP(D612,A!A$1:H$767,4,FALSE)="y",1,0)</f>
        <v>0</v>
      </c>
      <c r="L612" s="68">
        <f>IF(VLOOKUP(D612,A!A$1:H$767,5,FALSE)="y",1,0)</f>
        <v>0</v>
      </c>
      <c r="M612" s="92" t="str">
        <f>IF(VLOOKUP(D612,A!A$1:H$767,3,FALSE)="y","NEW","")</f>
        <v/>
      </c>
      <c r="N612" s="67">
        <f>VLOOKUP(D612,A!A$1:H$767,6,FALSE)</f>
        <v>0</v>
      </c>
      <c r="O612" s="93">
        <v>3</v>
      </c>
      <c r="P612" s="10">
        <f>VLOOKUP(D612,A!A$1:G$767,2,FALSE)</f>
        <v>0</v>
      </c>
      <c r="Q612" s="10" t="s">
        <v>818</v>
      </c>
      <c r="R612" s="10">
        <f t="shared" si="60"/>
        <v>0</v>
      </c>
      <c r="S612" s="10">
        <f>VLOOKUP(D612,A!A$1:AK$767,31,FALSE)</f>
        <v>45</v>
      </c>
      <c r="T612" s="10">
        <v>0.125</v>
      </c>
      <c r="U612" s="10">
        <f t="shared" si="61"/>
        <v>0</v>
      </c>
      <c r="X612" s="10"/>
    </row>
    <row r="613" spans="1:24" ht="11.25" hidden="1" customHeight="1" x14ac:dyDescent="0.25">
      <c r="A613" s="1" t="str">
        <f>IF(R613=0,"",COUNTIF(A$23:A612,"&gt;0")+1)</f>
        <v/>
      </c>
      <c r="B613" s="87"/>
      <c r="C613" s="63" t="s">
        <v>42</v>
      </c>
      <c r="D613" s="64" t="s">
        <v>830</v>
      </c>
      <c r="E613" s="65"/>
      <c r="F613" s="65"/>
      <c r="G613" s="229"/>
      <c r="H613" s="66" t="s">
        <v>356</v>
      </c>
      <c r="I613" s="67">
        <f>VLOOKUP(D613,A!A$1:H$767,8,FALSE)</f>
        <v>2</v>
      </c>
      <c r="J613" s="67"/>
      <c r="K613" s="68">
        <f>IF(VLOOKUP(D613,A!A$1:H$767,4,FALSE)="y",1,0)</f>
        <v>0</v>
      </c>
      <c r="L613" s="68">
        <f>IF(VLOOKUP(D613,A!A$1:H$767,5,FALSE)="y",1,0)</f>
        <v>0</v>
      </c>
      <c r="M613" s="92" t="str">
        <f>IF(VLOOKUP(D613,A!A$1:H$767,3,FALSE)="y","NEW","")</f>
        <v/>
      </c>
      <c r="N613" s="67">
        <f>VLOOKUP(D613,A!A$1:H$767,6,FALSE)</f>
        <v>0</v>
      </c>
      <c r="O613" s="93">
        <v>3</v>
      </c>
      <c r="P613" s="10">
        <f>VLOOKUP(D613,A!A$1:G$767,2,FALSE)</f>
        <v>0</v>
      </c>
      <c r="Q613" s="10" t="s">
        <v>818</v>
      </c>
      <c r="R613" s="10">
        <f t="shared" si="60"/>
        <v>0</v>
      </c>
      <c r="S613" s="10">
        <f>VLOOKUP(D613,A!A$1:AK$767,31,FALSE)</f>
        <v>45</v>
      </c>
      <c r="T613" s="10">
        <v>0.125</v>
      </c>
      <c r="U613" s="10">
        <f t="shared" si="61"/>
        <v>0</v>
      </c>
      <c r="X613" s="10"/>
    </row>
    <row r="614" spans="1:24" ht="11.25" hidden="1" customHeight="1" thickBot="1" x14ac:dyDescent="0.3">
      <c r="A614" s="1" t="str">
        <f>IF(R614=0,"",COUNTIF(A$23:A613,"&gt;0")+1)</f>
        <v/>
      </c>
      <c r="B614" s="209"/>
      <c r="C614" s="100" t="s">
        <v>42</v>
      </c>
      <c r="D614" s="210" t="s">
        <v>831</v>
      </c>
      <c r="E614" s="102"/>
      <c r="F614" s="102"/>
      <c r="G614" s="230"/>
      <c r="H614" s="104" t="s">
        <v>498</v>
      </c>
      <c r="I614" s="105">
        <f>VLOOKUP(D614,A!A$1:H$767,8,FALSE)</f>
        <v>2</v>
      </c>
      <c r="J614" s="105"/>
      <c r="K614" s="106">
        <f>IF(VLOOKUP(D614,A!A$1:H$767,4,FALSE)="y",1,0)</f>
        <v>0</v>
      </c>
      <c r="L614" s="106">
        <f>IF(VLOOKUP(D614,A!A$1:H$767,5,FALSE)="y",1,0)</f>
        <v>0</v>
      </c>
      <c r="M614" s="107" t="str">
        <f>IF(VLOOKUP(D614,A!A$1:H$767,3,FALSE)="y","NEW","")</f>
        <v/>
      </c>
      <c r="N614" s="105">
        <f>VLOOKUP(D614,A!A$1:H$767,6,FALSE)</f>
        <v>0</v>
      </c>
      <c r="O614" s="108">
        <v>3</v>
      </c>
      <c r="P614" s="10">
        <f>VLOOKUP(D614,A!A$1:G$767,2,FALSE)</f>
        <v>0</v>
      </c>
      <c r="Q614" s="10" t="s">
        <v>818</v>
      </c>
      <c r="R614" s="10">
        <f t="shared" si="60"/>
        <v>0</v>
      </c>
      <c r="S614" s="10">
        <f>VLOOKUP(D614,A!A$1:AK$767,31,FALSE)</f>
        <v>45</v>
      </c>
      <c r="T614" s="10">
        <v>0.125</v>
      </c>
      <c r="U614" s="10">
        <f t="shared" si="61"/>
        <v>0</v>
      </c>
      <c r="X614" s="10"/>
    </row>
    <row r="615" spans="1:24" ht="13.5" customHeight="1" x14ac:dyDescent="0.25">
      <c r="A615" s="1" t="str">
        <f>IF(R615=0,"",COUNTIF(A$23:A614,"&gt;0")+1)</f>
        <v/>
      </c>
      <c r="B615" s="109">
        <f>SUM(B604:B614)</f>
        <v>0</v>
      </c>
      <c r="C615" s="110" t="s">
        <v>42</v>
      </c>
      <c r="D615" s="111" t="s">
        <v>832</v>
      </c>
      <c r="E615" s="112"/>
      <c r="F615" s="112"/>
      <c r="G615" s="112"/>
      <c r="H615" s="112"/>
      <c r="I615" s="112"/>
      <c r="J615" s="112"/>
      <c r="K615" s="112"/>
      <c r="L615" s="112"/>
      <c r="M615" s="212"/>
      <c r="N615" s="112"/>
      <c r="O615" s="113"/>
      <c r="P615" s="75"/>
      <c r="Q615" s="10" t="s">
        <v>818</v>
      </c>
      <c r="R615" s="10">
        <f t="shared" si="60"/>
        <v>0</v>
      </c>
      <c r="S615" s="10"/>
      <c r="T615" s="10"/>
      <c r="U615" s="10"/>
      <c r="X615" s="10"/>
    </row>
    <row r="616" spans="1:24" ht="11.25" customHeight="1" thickBot="1" x14ac:dyDescent="0.3">
      <c r="A616" s="1" t="str">
        <f>IF(R616=0,"",COUNTIF(A$23:A615,"&gt;0")+1)</f>
        <v/>
      </c>
      <c r="B616" s="528"/>
      <c r="C616" s="532"/>
      <c r="D616" s="533"/>
      <c r="E616" s="534"/>
      <c r="F616" s="534"/>
      <c r="G616" s="534"/>
      <c r="H616" s="534"/>
      <c r="I616" s="534"/>
      <c r="J616" s="534"/>
      <c r="K616" s="534"/>
      <c r="L616" s="534"/>
      <c r="M616" s="535"/>
      <c r="N616" s="534"/>
      <c r="O616" s="536"/>
      <c r="P616" s="75"/>
      <c r="Q616" s="10"/>
      <c r="R616" s="10"/>
      <c r="S616" s="10"/>
      <c r="T616" s="10"/>
      <c r="U616" s="10"/>
      <c r="X616" s="10"/>
    </row>
    <row r="617" spans="1:24" ht="11.25" hidden="1" customHeight="1" thickBot="1" x14ac:dyDescent="0.3">
      <c r="A617" s="1" t="str">
        <f>IF(R617=0,"",COUNTIF(A$23:A616,"&gt;0")+1)</f>
        <v/>
      </c>
      <c r="B617" s="1207" t="s">
        <v>41</v>
      </c>
      <c r="C617" s="1207"/>
      <c r="D617" s="1204" t="s">
        <v>833</v>
      </c>
      <c r="E617" s="1204"/>
      <c r="F617" s="1204"/>
      <c r="G617" s="1204"/>
      <c r="H617" s="1205" t="s">
        <v>834</v>
      </c>
      <c r="I617" s="231" t="s">
        <v>835</v>
      </c>
      <c r="J617" s="231"/>
      <c r="K617" s="231"/>
      <c r="L617" s="231"/>
      <c r="M617" s="231"/>
      <c r="N617" s="231"/>
      <c r="O617" s="232"/>
      <c r="P617" s="10"/>
      <c r="Q617" s="10"/>
      <c r="R617" s="10"/>
      <c r="S617" s="10"/>
      <c r="T617" s="10"/>
      <c r="U617" s="10"/>
      <c r="X617" s="10"/>
    </row>
    <row r="618" spans="1:24" ht="10.5" hidden="1" customHeight="1" thickBot="1" x14ac:dyDescent="0.3">
      <c r="A618" s="1" t="str">
        <f>IF(R618=0,"",COUNTIF(A$23:A617,"&gt;0")+1)</f>
        <v/>
      </c>
      <c r="B618" s="1206" t="s">
        <v>836</v>
      </c>
      <c r="C618" s="1206"/>
      <c r="D618" s="1204"/>
      <c r="E618" s="1204"/>
      <c r="F618" s="1204"/>
      <c r="G618" s="1204"/>
      <c r="H618" s="1205"/>
      <c r="I618" s="233"/>
      <c r="J618" s="234"/>
      <c r="K618" s="234"/>
      <c r="L618" s="234"/>
      <c r="M618" s="233"/>
      <c r="N618" s="234"/>
      <c r="O618" s="235" t="s">
        <v>48</v>
      </c>
      <c r="P618" s="10"/>
      <c r="Q618" s="10"/>
      <c r="R618" s="10"/>
      <c r="S618" s="10"/>
      <c r="T618" s="10"/>
      <c r="U618" s="10"/>
      <c r="X618" s="10"/>
    </row>
    <row r="619" spans="1:24" ht="11.25" hidden="1" customHeight="1" x14ac:dyDescent="0.25">
      <c r="A619" s="1" t="str">
        <f>IF(R619=0,"",COUNTIF(A$23:A618,"&gt;0")+1)</f>
        <v/>
      </c>
      <c r="B619" s="236"/>
      <c r="C619" s="164" t="s">
        <v>837</v>
      </c>
      <c r="D619" s="165" t="s">
        <v>838</v>
      </c>
      <c r="E619" s="166"/>
      <c r="F619" s="166"/>
      <c r="G619" s="167" t="s">
        <v>174</v>
      </c>
      <c r="H619" s="168" t="s">
        <v>175</v>
      </c>
      <c r="I619" s="67">
        <f>VLOOKUP(D619,A!A$1:H$767,8,FALSE)</f>
        <v>0</v>
      </c>
      <c r="J619" s="150"/>
      <c r="K619" s="68">
        <f>IF(VLOOKUP(D619,A!A$1:H$767,4,FALSE)="y",1,0)</f>
        <v>0</v>
      </c>
      <c r="L619" s="68">
        <f>IF(VLOOKUP(D619,A!A$1:H$767,5,FALSE)="y",1,0)</f>
        <v>0</v>
      </c>
      <c r="M619" s="149" t="str">
        <f>IF(VLOOKUP(D619,A!A$1:H$767,3,FALSE)="y","NEW","")</f>
        <v/>
      </c>
      <c r="N619" s="150">
        <f>VLOOKUP(D619,A!A$1:H$767,6,FALSE)</f>
        <v>0</v>
      </c>
      <c r="O619" s="237">
        <v>1</v>
      </c>
      <c r="P619" s="10">
        <f>VLOOKUP(D619,A!A$1:G$767,2,FALSE)</f>
        <v>0</v>
      </c>
      <c r="Q619" s="10" t="s">
        <v>839</v>
      </c>
      <c r="R619" s="10">
        <f t="shared" ref="R619:R631" si="62">B619</f>
        <v>0</v>
      </c>
      <c r="S619" s="10">
        <f>VLOOKUP(D619,A!A$1:AK$767,31,FALSE)</f>
        <v>30</v>
      </c>
      <c r="T619" s="10">
        <v>0.16600000000000001</v>
      </c>
      <c r="U619" s="10">
        <f t="shared" ref="U619:U630" si="63">T619*B619</f>
        <v>0</v>
      </c>
      <c r="X619" s="10"/>
    </row>
    <row r="620" spans="1:24" ht="11.25" hidden="1" customHeight="1" x14ac:dyDescent="0.25">
      <c r="A620" s="1" t="str">
        <f>IF(R620=0,"",COUNTIF(A$23:A619,"&gt;0")+1)</f>
        <v/>
      </c>
      <c r="B620" s="238"/>
      <c r="C620" s="164" t="s">
        <v>837</v>
      </c>
      <c r="D620" s="165" t="s">
        <v>598</v>
      </c>
      <c r="E620" s="166"/>
      <c r="F620" s="166"/>
      <c r="G620" s="167" t="s">
        <v>840</v>
      </c>
      <c r="H620" s="168" t="s">
        <v>841</v>
      </c>
      <c r="I620" s="67">
        <f>VLOOKUP(D620,A!A$1:H$767,8,FALSE)</f>
        <v>0</v>
      </c>
      <c r="J620" s="150" t="s">
        <v>63</v>
      </c>
      <c r="K620" s="68">
        <f>IF(VLOOKUP(D620,A!A$1:H$767,4,FALSE)="y",1,0)</f>
        <v>0</v>
      </c>
      <c r="L620" s="68">
        <f>IF(VLOOKUP(D620,A!A$1:H$767,5,FALSE)="y",1,0)</f>
        <v>0</v>
      </c>
      <c r="M620" s="149" t="str">
        <f>IF(VLOOKUP(D620,A!A$1:H$767,3,FALSE)="y","NEW","")</f>
        <v/>
      </c>
      <c r="N620" s="150">
        <f>VLOOKUP(D620,A!A$1:H$767,6,FALSE)</f>
        <v>0</v>
      </c>
      <c r="O620" s="237">
        <v>1</v>
      </c>
      <c r="P620" s="10">
        <f>VLOOKUP(D620,A!A$1:G$767,2,FALSE)</f>
        <v>0</v>
      </c>
      <c r="Q620" s="10" t="s">
        <v>839</v>
      </c>
      <c r="R620" s="10">
        <f t="shared" si="62"/>
        <v>0</v>
      </c>
      <c r="S620" s="10" t="str">
        <f>VLOOKUP(D620,A!A$1:AK$767,31,FALSE)</f>
        <v/>
      </c>
      <c r="T620" s="10">
        <v>0.16600000000000001</v>
      </c>
      <c r="U620" s="10">
        <f t="shared" si="63"/>
        <v>0</v>
      </c>
      <c r="X620" s="10"/>
    </row>
    <row r="621" spans="1:24" ht="11.25" hidden="1" customHeight="1" x14ac:dyDescent="0.25">
      <c r="A621" s="1" t="str">
        <f>IF(R621=0,"",COUNTIF(A$23:A620,"&gt;0")+1)</f>
        <v/>
      </c>
      <c r="B621" s="238"/>
      <c r="C621" s="164" t="s">
        <v>837</v>
      </c>
      <c r="D621" s="165" t="s">
        <v>842</v>
      </c>
      <c r="E621" s="166"/>
      <c r="F621" s="166"/>
      <c r="G621" s="167" t="s">
        <v>843</v>
      </c>
      <c r="H621" s="168" t="s">
        <v>844</v>
      </c>
      <c r="I621" s="67">
        <f>VLOOKUP(D621,A!A$1:H$767,8,FALSE)</f>
        <v>0</v>
      </c>
      <c r="J621" s="150" t="s">
        <v>63</v>
      </c>
      <c r="K621" s="68">
        <f>IF(VLOOKUP(D621,A!A$1:H$767,4,FALSE)="y",1,0)</f>
        <v>0</v>
      </c>
      <c r="L621" s="68">
        <f>IF(VLOOKUP(D621,A!A$1:H$767,5,FALSE)="y",1,0)</f>
        <v>0</v>
      </c>
      <c r="M621" s="149" t="str">
        <f>IF(VLOOKUP(D621,A!A$1:H$767,3,FALSE)="y","NEW","")</f>
        <v/>
      </c>
      <c r="N621" s="150">
        <f>VLOOKUP(D621,A!A$1:H$767,6,FALSE)</f>
        <v>0</v>
      </c>
      <c r="O621" s="237">
        <v>1</v>
      </c>
      <c r="P621" s="10">
        <f>VLOOKUP(D621,A!A$1:G$767,2,FALSE)</f>
        <v>0</v>
      </c>
      <c r="Q621" s="10" t="s">
        <v>839</v>
      </c>
      <c r="R621" s="10">
        <f t="shared" si="62"/>
        <v>0</v>
      </c>
      <c r="S621" s="10">
        <f>VLOOKUP(D621,A!A$1:AK$767,31,FALSE)</f>
        <v>30</v>
      </c>
      <c r="T621" s="10">
        <v>0.16600000000000001</v>
      </c>
      <c r="U621" s="10">
        <f t="shared" si="63"/>
        <v>0</v>
      </c>
      <c r="X621" s="10"/>
    </row>
    <row r="622" spans="1:24" ht="11.25" hidden="1" customHeight="1" x14ac:dyDescent="0.25">
      <c r="A622" s="1" t="str">
        <f>IF(R622=0,"",COUNTIF(A$23:A621,"&gt;0")+1)</f>
        <v/>
      </c>
      <c r="B622" s="238"/>
      <c r="C622" s="164" t="s">
        <v>837</v>
      </c>
      <c r="D622" s="165" t="s">
        <v>624</v>
      </c>
      <c r="E622" s="166"/>
      <c r="F622" s="166"/>
      <c r="G622" s="167" t="s">
        <v>845</v>
      </c>
      <c r="H622" s="168" t="s">
        <v>623</v>
      </c>
      <c r="I622" s="67">
        <f>VLOOKUP(D622,A!A$1:H$767,8,FALSE)</f>
        <v>0</v>
      </c>
      <c r="J622" s="150"/>
      <c r="K622" s="68">
        <f>IF(VLOOKUP(D622,A!A$1:H$767,4,FALSE)="y",1,0)</f>
        <v>0</v>
      </c>
      <c r="L622" s="68">
        <f>IF(VLOOKUP(D622,A!A$1:H$767,5,FALSE)="y",1,0)</f>
        <v>0</v>
      </c>
      <c r="M622" s="149" t="str">
        <f>IF(VLOOKUP(D622,A!A$1:H$767,3,FALSE)="y","NEW","")</f>
        <v/>
      </c>
      <c r="N622" s="150">
        <f>VLOOKUP(D622,A!A$1:H$767,6,FALSE)</f>
        <v>0</v>
      </c>
      <c r="O622" s="237">
        <v>1</v>
      </c>
      <c r="P622" s="10">
        <f>VLOOKUP(D622,A!A$1:G$767,2,FALSE)</f>
        <v>0</v>
      </c>
      <c r="Q622" s="10" t="s">
        <v>839</v>
      </c>
      <c r="R622" s="10">
        <f t="shared" si="62"/>
        <v>0</v>
      </c>
      <c r="S622" s="10" t="str">
        <f>VLOOKUP(D622,A!A$1:AK$767,31,FALSE)</f>
        <v/>
      </c>
      <c r="T622" s="10">
        <v>0.16600000000000001</v>
      </c>
      <c r="U622" s="10">
        <f t="shared" si="63"/>
        <v>0</v>
      </c>
      <c r="X622" s="10"/>
    </row>
    <row r="623" spans="1:24" ht="11.25" hidden="1" customHeight="1" x14ac:dyDescent="0.25">
      <c r="A623" s="1" t="str">
        <f>IF(R623=0,"",COUNTIF(A$23:A622,"&gt;0")+1)</f>
        <v/>
      </c>
      <c r="B623" s="238"/>
      <c r="C623" s="164" t="s">
        <v>837</v>
      </c>
      <c r="D623" s="165" t="s">
        <v>101</v>
      </c>
      <c r="E623" s="166"/>
      <c r="F623" s="166"/>
      <c r="G623" s="167" t="s">
        <v>846</v>
      </c>
      <c r="H623" s="168" t="s">
        <v>847</v>
      </c>
      <c r="I623" s="67">
        <f>VLOOKUP(D623,A!A$1:H$767,8,FALSE)</f>
        <v>2</v>
      </c>
      <c r="J623" s="150" t="s">
        <v>63</v>
      </c>
      <c r="K623" s="68">
        <f>IF(VLOOKUP(D623,A!A$1:H$767,4,FALSE)="y",1,0)</f>
        <v>0</v>
      </c>
      <c r="L623" s="68">
        <f>IF(VLOOKUP(D623,A!A$1:H$767,5,FALSE)="y",1,0)</f>
        <v>0</v>
      </c>
      <c r="M623" s="149" t="str">
        <f>IF(VLOOKUP(D623,A!A$1:H$767,3,FALSE)="y","NEW","")</f>
        <v/>
      </c>
      <c r="N623" s="150">
        <f>VLOOKUP(D623,A!A$1:H$767,6,FALSE)</f>
        <v>0</v>
      </c>
      <c r="O623" s="237">
        <v>1</v>
      </c>
      <c r="P623" s="10">
        <f>VLOOKUP(D623,A!A$1:G$767,2,FALSE)</f>
        <v>0</v>
      </c>
      <c r="Q623" s="10" t="s">
        <v>839</v>
      </c>
      <c r="R623" s="10">
        <f t="shared" si="62"/>
        <v>0</v>
      </c>
      <c r="S623" s="10">
        <f>VLOOKUP(D623,A!A$1:AK$767,31,FALSE)</f>
        <v>25</v>
      </c>
      <c r="T623" s="10">
        <v>0.16600000000000001</v>
      </c>
      <c r="U623" s="10">
        <f t="shared" si="63"/>
        <v>0</v>
      </c>
      <c r="X623" s="10"/>
    </row>
    <row r="624" spans="1:24" ht="11.25" hidden="1" customHeight="1" x14ac:dyDescent="0.25">
      <c r="A624" s="1" t="str">
        <f>IF(R624=0,"",COUNTIF(A$23:A623,"&gt;0")+1)</f>
        <v/>
      </c>
      <c r="B624" s="238"/>
      <c r="C624" s="164" t="s">
        <v>837</v>
      </c>
      <c r="D624" s="165" t="s">
        <v>640</v>
      </c>
      <c r="E624" s="166"/>
      <c r="F624" s="166"/>
      <c r="G624" s="167" t="s">
        <v>848</v>
      </c>
      <c r="H624" s="168" t="s">
        <v>642</v>
      </c>
      <c r="I624" s="67">
        <f>VLOOKUP(D624,A!A$1:H$767,8,FALSE)</f>
        <v>0</v>
      </c>
      <c r="J624" s="150"/>
      <c r="K624" s="68">
        <f>IF(VLOOKUP(D624,A!A$1:H$767,4,FALSE)="y",1,0)</f>
        <v>0</v>
      </c>
      <c r="L624" s="68">
        <f>IF(VLOOKUP(D624,A!A$1:H$767,5,FALSE)="y",1,0)</f>
        <v>0</v>
      </c>
      <c r="M624" s="149" t="str">
        <f>IF(VLOOKUP(D624,A!A$1:H$767,3,FALSE)="y","NEW","")</f>
        <v/>
      </c>
      <c r="N624" s="150">
        <f>VLOOKUP(D624,A!A$1:H$767,6,FALSE)</f>
        <v>0</v>
      </c>
      <c r="O624" s="237">
        <v>1</v>
      </c>
      <c r="P624" s="10">
        <f>VLOOKUP(D624,A!A$1:G$767,2,FALSE)</f>
        <v>0</v>
      </c>
      <c r="Q624" s="10" t="s">
        <v>839</v>
      </c>
      <c r="R624" s="10">
        <f t="shared" si="62"/>
        <v>0</v>
      </c>
      <c r="S624" s="10" t="str">
        <f>VLOOKUP(D624,A!A$1:AK$767,31,FALSE)</f>
        <v/>
      </c>
      <c r="T624" s="10">
        <v>0.16600000000000001</v>
      </c>
      <c r="U624" s="10">
        <f t="shared" si="63"/>
        <v>0</v>
      </c>
      <c r="X624" s="10"/>
    </row>
    <row r="625" spans="1:24" ht="11.25" hidden="1" customHeight="1" x14ac:dyDescent="0.25">
      <c r="A625" s="1" t="str">
        <f>IF(R625=0,"",COUNTIF(A$23:A624,"&gt;0")+1)</f>
        <v/>
      </c>
      <c r="B625" s="238"/>
      <c r="C625" s="164" t="s">
        <v>837</v>
      </c>
      <c r="D625" s="165" t="s">
        <v>158</v>
      </c>
      <c r="E625" s="166"/>
      <c r="F625" s="166"/>
      <c r="G625" s="167" t="s">
        <v>849</v>
      </c>
      <c r="H625" s="168" t="s">
        <v>644</v>
      </c>
      <c r="I625" s="67">
        <f>VLOOKUP(D625,A!A$1:H$767,8,FALSE)</f>
        <v>2</v>
      </c>
      <c r="J625" s="150"/>
      <c r="K625" s="68">
        <f>IF(VLOOKUP(D625,A!A$1:H$767,4,FALSE)="y",1,0)</f>
        <v>0</v>
      </c>
      <c r="L625" s="68">
        <f>IF(VLOOKUP(D625,A!A$1:H$767,5,FALSE)="y",1,0)</f>
        <v>0</v>
      </c>
      <c r="M625" s="149" t="str">
        <f>IF(VLOOKUP(D625,A!A$1:H$767,3,FALSE)="y","NEW","")</f>
        <v/>
      </c>
      <c r="N625" s="150">
        <f>VLOOKUP(D625,A!A$1:H$767,6,FALSE)</f>
        <v>0</v>
      </c>
      <c r="O625" s="237">
        <v>1</v>
      </c>
      <c r="P625" s="10">
        <f>VLOOKUP(D625,A!A$1:G$767,2,FALSE)</f>
        <v>0</v>
      </c>
      <c r="Q625" s="10" t="s">
        <v>839</v>
      </c>
      <c r="R625" s="10">
        <f t="shared" si="62"/>
        <v>0</v>
      </c>
      <c r="S625" s="10">
        <f>VLOOKUP(D625,A!A$1:AK$767,31,FALSE)</f>
        <v>25</v>
      </c>
      <c r="T625" s="10">
        <v>0.16600000000000001</v>
      </c>
      <c r="U625" s="10">
        <f t="shared" si="63"/>
        <v>0</v>
      </c>
      <c r="X625" s="10"/>
    </row>
    <row r="626" spans="1:24" ht="11.25" hidden="1" customHeight="1" x14ac:dyDescent="0.25">
      <c r="A626" s="1" t="str">
        <f>IF(R626=0,"",COUNTIF(A$23:A625,"&gt;0")+1)</f>
        <v/>
      </c>
      <c r="B626" s="238"/>
      <c r="C626" s="164" t="s">
        <v>837</v>
      </c>
      <c r="D626" s="165" t="s">
        <v>850</v>
      </c>
      <c r="E626" s="166"/>
      <c r="F626" s="166"/>
      <c r="G626" s="167" t="s">
        <v>851</v>
      </c>
      <c r="H626" s="168" t="s">
        <v>647</v>
      </c>
      <c r="I626" s="67">
        <f>VLOOKUP(D626,A!A$1:H$767,8,FALSE)</f>
        <v>0</v>
      </c>
      <c r="J626" s="150" t="s">
        <v>63</v>
      </c>
      <c r="K626" s="68">
        <f>IF(VLOOKUP(D626,A!A$1:H$767,4,FALSE)="y",1,0)</f>
        <v>0</v>
      </c>
      <c r="L626" s="68">
        <f>IF(VLOOKUP(D626,A!A$1:H$767,5,FALSE)="y",1,0)</f>
        <v>0</v>
      </c>
      <c r="M626" s="149" t="str">
        <f>IF(VLOOKUP(D626,A!A$1:H$767,3,FALSE)="y","NEW","")</f>
        <v/>
      </c>
      <c r="N626" s="150">
        <f>VLOOKUP(D626,A!A$1:H$767,6,FALSE)</f>
        <v>0</v>
      </c>
      <c r="O626" s="237">
        <v>1</v>
      </c>
      <c r="P626" s="10">
        <f>VLOOKUP(D626,A!A$1:G$767,2,FALSE)</f>
        <v>0</v>
      </c>
      <c r="Q626" s="10" t="s">
        <v>839</v>
      </c>
      <c r="R626" s="10">
        <f t="shared" si="62"/>
        <v>0</v>
      </c>
      <c r="S626" s="10" t="str">
        <f>VLOOKUP(D626,A!A$1:AK$767,31,FALSE)</f>
        <v/>
      </c>
      <c r="T626" s="10">
        <v>0.16600000000000001</v>
      </c>
      <c r="U626" s="10">
        <f t="shared" si="63"/>
        <v>0</v>
      </c>
      <c r="X626" s="10"/>
    </row>
    <row r="627" spans="1:24" ht="11.25" hidden="1" customHeight="1" x14ac:dyDescent="0.25">
      <c r="A627" s="1" t="str">
        <f>IF(R627=0,"",COUNTIF(A$23:A626,"&gt;0")+1)</f>
        <v/>
      </c>
      <c r="B627" s="238"/>
      <c r="C627" s="164" t="s">
        <v>837</v>
      </c>
      <c r="D627" s="165" t="s">
        <v>699</v>
      </c>
      <c r="E627" s="166"/>
      <c r="F627" s="166"/>
      <c r="G627" s="167" t="s">
        <v>852</v>
      </c>
      <c r="H627" s="168" t="s">
        <v>853</v>
      </c>
      <c r="I627" s="67">
        <f>VLOOKUP(D627,A!A$1:H$767,8,FALSE)</f>
        <v>0</v>
      </c>
      <c r="J627" s="150" t="s">
        <v>63</v>
      </c>
      <c r="K627" s="68">
        <f>IF(VLOOKUP(D627,A!A$1:H$767,4,FALSE)="y",1,0)</f>
        <v>0</v>
      </c>
      <c r="L627" s="68">
        <f>IF(VLOOKUP(D627,A!A$1:H$767,5,FALSE)="y",1,0)</f>
        <v>0</v>
      </c>
      <c r="M627" s="149" t="str">
        <f>IF(VLOOKUP(D627,A!A$1:H$767,3,FALSE)="y","NEW","")</f>
        <v/>
      </c>
      <c r="N627" s="150">
        <f>VLOOKUP(D627,A!A$1:H$767,6,FALSE)</f>
        <v>0</v>
      </c>
      <c r="O627" s="237">
        <v>1</v>
      </c>
      <c r="P627" s="10">
        <f>VLOOKUP(D627,A!A$1:G$767,2,FALSE)</f>
        <v>0</v>
      </c>
      <c r="Q627" s="10" t="s">
        <v>839</v>
      </c>
      <c r="R627" s="10">
        <f t="shared" si="62"/>
        <v>0</v>
      </c>
      <c r="S627" s="10" t="str">
        <f>VLOOKUP(D627,A!A$1:AK$767,31,FALSE)</f>
        <v/>
      </c>
      <c r="T627" s="10">
        <v>0.16600000000000001</v>
      </c>
      <c r="U627" s="10">
        <f t="shared" si="63"/>
        <v>0</v>
      </c>
      <c r="X627" s="10"/>
    </row>
    <row r="628" spans="1:24" ht="11.25" hidden="1" customHeight="1" x14ac:dyDescent="0.25">
      <c r="A628" s="1" t="str">
        <f>IF(R628=0,"",COUNTIF(A$23:A627,"&gt;0")+1)</f>
        <v/>
      </c>
      <c r="B628" s="238"/>
      <c r="C628" s="164" t="s">
        <v>837</v>
      </c>
      <c r="D628" s="165" t="s">
        <v>708</v>
      </c>
      <c r="E628" s="166"/>
      <c r="F628" s="166"/>
      <c r="G628" s="167" t="s">
        <v>854</v>
      </c>
      <c r="H628" s="168" t="s">
        <v>855</v>
      </c>
      <c r="I628" s="67">
        <f>VLOOKUP(D628,A!A$1:H$767,8,FALSE)</f>
        <v>0</v>
      </c>
      <c r="J628" s="150" t="s">
        <v>63</v>
      </c>
      <c r="K628" s="68">
        <f>IF(VLOOKUP(D628,A!A$1:H$767,4,FALSE)="y",1,0)</f>
        <v>0</v>
      </c>
      <c r="L628" s="68">
        <f>IF(VLOOKUP(D628,A!A$1:H$767,5,FALSE)="y",1,0)</f>
        <v>0</v>
      </c>
      <c r="M628" s="149" t="str">
        <f>IF(VLOOKUP(D628,A!A$1:H$767,3,FALSE)="y","NEW","")</f>
        <v/>
      </c>
      <c r="N628" s="150">
        <f>VLOOKUP(D628,A!A$1:H$767,6,FALSE)</f>
        <v>0</v>
      </c>
      <c r="O628" s="237">
        <v>1</v>
      </c>
      <c r="P628" s="10">
        <f>VLOOKUP(D628,A!A$1:G$767,2,FALSE)</f>
        <v>0</v>
      </c>
      <c r="Q628" s="10" t="s">
        <v>839</v>
      </c>
      <c r="R628" s="10">
        <f t="shared" si="62"/>
        <v>0</v>
      </c>
      <c r="S628" s="10" t="str">
        <f>VLOOKUP(D628,A!A$1:AK$767,31,FALSE)</f>
        <v/>
      </c>
      <c r="T628" s="10">
        <v>0.16600000000000001</v>
      </c>
      <c r="U628" s="10">
        <f t="shared" si="63"/>
        <v>0</v>
      </c>
      <c r="X628" s="10"/>
    </row>
    <row r="629" spans="1:24" ht="11.25" hidden="1" customHeight="1" x14ac:dyDescent="0.25">
      <c r="A629" s="1" t="str">
        <f>IF(R629=0,"",COUNTIF(A$23:A628,"&gt;0")+1)</f>
        <v/>
      </c>
      <c r="B629" s="238"/>
      <c r="C629" s="164" t="s">
        <v>837</v>
      </c>
      <c r="D629" s="165" t="s">
        <v>856</v>
      </c>
      <c r="E629" s="166"/>
      <c r="F629" s="166"/>
      <c r="G629" s="167" t="s">
        <v>854</v>
      </c>
      <c r="H629" s="168" t="s">
        <v>857</v>
      </c>
      <c r="I629" s="67">
        <f>VLOOKUP(D629,A!A$1:H$767,8,FALSE)</f>
        <v>0</v>
      </c>
      <c r="J629" s="150"/>
      <c r="K629" s="68">
        <f>IF(VLOOKUP(D629,A!A$1:H$767,4,FALSE)="y",1,0)</f>
        <v>0</v>
      </c>
      <c r="L629" s="68">
        <f>IF(VLOOKUP(D629,A!A$1:H$767,5,FALSE)="y",1,0)</f>
        <v>0</v>
      </c>
      <c r="M629" s="149" t="str">
        <f>IF(VLOOKUP(D629,A!A$1:H$767,3,FALSE)="y","NEW","")</f>
        <v/>
      </c>
      <c r="N629" s="150">
        <f>VLOOKUP(D629,A!A$1:H$767,6,FALSE)</f>
        <v>0</v>
      </c>
      <c r="O629" s="237">
        <v>1</v>
      </c>
      <c r="P629" s="10">
        <f>VLOOKUP(D629,A!A$1:G$767,2,FALSE)</f>
        <v>0</v>
      </c>
      <c r="Q629" s="10" t="s">
        <v>839</v>
      </c>
      <c r="R629" s="10">
        <f t="shared" si="62"/>
        <v>0</v>
      </c>
      <c r="S629" s="10">
        <f>VLOOKUP(D629,A!A$1:AK$767,31,FALSE)</f>
        <v>30</v>
      </c>
      <c r="T629" s="10">
        <v>0.16600000000000001</v>
      </c>
      <c r="U629" s="10">
        <f t="shared" si="63"/>
        <v>0</v>
      </c>
      <c r="X629" s="10"/>
    </row>
    <row r="630" spans="1:24" ht="11.25" hidden="1" customHeight="1" thickBot="1" x14ac:dyDescent="0.3">
      <c r="A630" s="1" t="str">
        <f>IF(R630=0,"",COUNTIF(A$23:A629,"&gt;0")+1)</f>
        <v/>
      </c>
      <c r="B630" s="239"/>
      <c r="C630" s="240" t="s">
        <v>837</v>
      </c>
      <c r="D630" s="241" t="s">
        <v>858</v>
      </c>
      <c r="E630" s="242"/>
      <c r="F630" s="242"/>
      <c r="G630" s="243" t="s">
        <v>859</v>
      </c>
      <c r="H630" s="244" t="s">
        <v>860</v>
      </c>
      <c r="I630" s="245">
        <f>VLOOKUP(D630,A!A$1:H$767,8,FALSE)</f>
        <v>1</v>
      </c>
      <c r="J630" s="245"/>
      <c r="K630" s="246">
        <f>IF(VLOOKUP(D630,A!A$1:H$767,4,FALSE)="y",1,0)</f>
        <v>0</v>
      </c>
      <c r="L630" s="246">
        <f>IF(VLOOKUP(D630,A!A$1:H$767,5,FALSE)="y",1,0)</f>
        <v>0</v>
      </c>
      <c r="M630" s="247" t="str">
        <f>IF(VLOOKUP(D630,A!A$1:H$767,3,FALSE)="y","NEW","")</f>
        <v/>
      </c>
      <c r="N630" s="245">
        <f>VLOOKUP(D630,A!A$1:H$767,6,FALSE)</f>
        <v>0</v>
      </c>
      <c r="O630" s="248">
        <v>1</v>
      </c>
      <c r="P630" s="10">
        <f>VLOOKUP(D630,A!A$1:G$767,2,FALSE)</f>
        <v>0</v>
      </c>
      <c r="Q630" s="10" t="s">
        <v>839</v>
      </c>
      <c r="R630" s="10">
        <f t="shared" si="62"/>
        <v>0</v>
      </c>
      <c r="S630" s="10">
        <f>VLOOKUP(D630,A!A$1:AK$767,31,FALSE)</f>
        <v>25</v>
      </c>
      <c r="T630" s="10">
        <v>0.16600000000000001</v>
      </c>
      <c r="U630" s="10">
        <f t="shared" si="63"/>
        <v>0</v>
      </c>
      <c r="X630" s="10"/>
    </row>
    <row r="631" spans="1:24" ht="12.75" hidden="1" customHeight="1" x14ac:dyDescent="0.25">
      <c r="A631" s="1" t="str">
        <f>IF(R631=0,"",COUNTIF(A$23:A630,"&gt;0")+1)</f>
        <v/>
      </c>
      <c r="B631" s="58">
        <f>SUM(B619:B630)</f>
        <v>0</v>
      </c>
      <c r="C631" s="58"/>
      <c r="D631" s="172" t="s">
        <v>861</v>
      </c>
      <c r="O631" s="249"/>
      <c r="P631" s="75"/>
      <c r="Q631" s="10" t="s">
        <v>839</v>
      </c>
      <c r="R631" s="10">
        <f t="shared" si="62"/>
        <v>0</v>
      </c>
      <c r="S631" s="10"/>
      <c r="T631" s="10"/>
      <c r="U631" s="10"/>
      <c r="X631" s="10"/>
    </row>
    <row r="632" spans="1:24" ht="6.75" hidden="1" customHeight="1" thickBot="1" x14ac:dyDescent="0.3">
      <c r="A632" s="1" t="str">
        <f>IF(R632=0,"",COUNTIF(A$23:A631,"&gt;0")+1)</f>
        <v/>
      </c>
      <c r="P632" s="10"/>
      <c r="Q632" s="10"/>
      <c r="R632" s="10"/>
      <c r="S632" s="10"/>
      <c r="T632" s="10"/>
      <c r="U632" s="10"/>
      <c r="X632" s="10"/>
    </row>
    <row r="633" spans="1:24" ht="8.25" customHeight="1" x14ac:dyDescent="0.25">
      <c r="A633" s="1" t="str">
        <f>IF(R633=0,"",COUNTIF(A$23:A632,"&gt;0")+1)</f>
        <v/>
      </c>
      <c r="B633" s="1251" t="s">
        <v>41</v>
      </c>
      <c r="C633" s="1252"/>
      <c r="D633" s="1263" t="s">
        <v>1480</v>
      </c>
      <c r="E633" s="1264"/>
      <c r="F633" s="1264"/>
      <c r="G633" s="1264"/>
      <c r="H633" s="1264"/>
      <c r="I633" s="867"/>
      <c r="J633" s="867"/>
      <c r="K633" s="1243"/>
      <c r="L633" s="1243"/>
      <c r="M633" s="1243"/>
      <c r="N633" s="1243"/>
      <c r="O633" s="868"/>
      <c r="P633" s="10"/>
      <c r="Q633" s="10"/>
      <c r="R633" s="10"/>
      <c r="S633" s="10"/>
      <c r="T633" s="10"/>
      <c r="U633" s="10"/>
      <c r="X633" s="10"/>
    </row>
    <row r="634" spans="1:24" ht="10.5" customHeight="1" thickBot="1" x14ac:dyDescent="0.3">
      <c r="A634" s="1" t="str">
        <f>IF(R634=0,"",COUNTIF(A$23:A633,"&gt;0")+1)</f>
        <v/>
      </c>
      <c r="B634" s="1253" t="s">
        <v>774</v>
      </c>
      <c r="C634" s="1254"/>
      <c r="D634" s="1265"/>
      <c r="E634" s="1266"/>
      <c r="F634" s="1266"/>
      <c r="G634" s="1266"/>
      <c r="H634" s="1266"/>
      <c r="I634" s="902" t="s">
        <v>47</v>
      </c>
      <c r="J634" s="903"/>
      <c r="K634" s="1244"/>
      <c r="L634" s="1244"/>
      <c r="M634" s="1244"/>
      <c r="N634" s="1244"/>
      <c r="O634" s="904"/>
      <c r="P634" s="75" t="s">
        <v>49</v>
      </c>
      <c r="Q634" s="10"/>
      <c r="R634" s="10"/>
      <c r="S634" s="10"/>
      <c r="T634" s="10"/>
      <c r="U634" s="10"/>
      <c r="X634" s="10"/>
    </row>
    <row r="635" spans="1:24" ht="11.25" hidden="1" customHeight="1" thickBot="1" x14ac:dyDescent="0.3">
      <c r="A635" s="1" t="str">
        <f>IF(R635=0,"",COUNTIF(A$23:A634,"&gt;0")+1)</f>
        <v/>
      </c>
      <c r="B635" s="905"/>
      <c r="C635" s="906" t="s">
        <v>862</v>
      </c>
      <c r="D635" s="907"/>
      <c r="E635" s="907"/>
      <c r="F635" s="907"/>
      <c r="G635" s="907"/>
      <c r="H635" s="907"/>
      <c r="I635" s="907"/>
      <c r="J635" s="907"/>
      <c r="K635" s="907"/>
      <c r="L635" s="907"/>
      <c r="M635" s="907"/>
      <c r="N635" s="908"/>
      <c r="O635" s="909"/>
      <c r="P635" s="10"/>
      <c r="Q635" s="10"/>
      <c r="R635" s="10"/>
      <c r="S635" s="10"/>
      <c r="T635" s="10"/>
      <c r="U635" s="10"/>
      <c r="X635" s="10"/>
    </row>
    <row r="636" spans="1:24" ht="11.25" hidden="1" customHeight="1" thickBot="1" x14ac:dyDescent="0.3">
      <c r="A636" s="1" t="str">
        <f>IF(R636=0,"",COUNTIF(A$23:A635,"&gt;0")+1)</f>
        <v/>
      </c>
      <c r="B636" s="910" t="s">
        <v>863</v>
      </c>
      <c r="C636" s="911"/>
      <c r="D636" s="912"/>
      <c r="E636" s="912"/>
      <c r="F636" s="912"/>
      <c r="G636" s="912"/>
      <c r="H636" s="913"/>
      <c r="I636" s="911"/>
      <c r="J636" s="912"/>
      <c r="K636" s="914"/>
      <c r="L636" s="915"/>
      <c r="M636" s="915"/>
      <c r="N636" s="915"/>
      <c r="O636" s="916"/>
      <c r="P636" s="75"/>
      <c r="Q636" s="10"/>
      <c r="R636" s="10"/>
      <c r="S636" s="10"/>
      <c r="T636" s="10"/>
      <c r="U636" s="10"/>
      <c r="X636" s="10"/>
    </row>
    <row r="637" spans="1:24" ht="10.9" hidden="1" customHeight="1" thickBot="1" x14ac:dyDescent="0.3">
      <c r="A637" s="1" t="str">
        <f>IF(R637=0,"",COUNTIF(A$23:A636,"&gt;0")+1)</f>
        <v/>
      </c>
      <c r="B637" s="917"/>
      <c r="C637" s="918" t="s">
        <v>864</v>
      </c>
      <c r="D637" s="919" t="s">
        <v>865</v>
      </c>
      <c r="E637" s="920"/>
      <c r="F637" s="921"/>
      <c r="G637" s="918" t="s">
        <v>1292</v>
      </c>
      <c r="H637" s="922"/>
      <c r="I637" s="923">
        <f>VLOOKUP(D637,A!A$1:H$767,8,FALSE)</f>
        <v>1</v>
      </c>
      <c r="J637" s="924" t="s">
        <v>63</v>
      </c>
      <c r="K637" s="860">
        <v>5021353015218</v>
      </c>
      <c r="L637" s="925"/>
      <c r="M637" s="926" t="s">
        <v>64</v>
      </c>
      <c r="N637" s="925"/>
      <c r="O637" s="927"/>
      <c r="P637" s="10">
        <f>VLOOKUP(D637,A!A$1:G$767,2,FALSE)</f>
        <v>0</v>
      </c>
      <c r="Q637" s="10" t="s">
        <v>866</v>
      </c>
      <c r="R637" s="10">
        <f>B637</f>
        <v>0</v>
      </c>
      <c r="S637" s="10">
        <f>VLOOKUP(D637,A!A$1:AK$767,31,FALSE)</f>
        <v>25</v>
      </c>
      <c r="T637" s="10">
        <v>0.2</v>
      </c>
      <c r="U637" s="10">
        <f>T637*B637</f>
        <v>0</v>
      </c>
      <c r="X637" s="10"/>
    </row>
    <row r="638" spans="1:24" ht="11.25" hidden="1" customHeight="1" thickBot="1" x14ac:dyDescent="0.3">
      <c r="A638" s="1" t="str">
        <f>IF(R638=0,"",COUNTIF(A$23:A637,"&gt;0")+1)</f>
        <v/>
      </c>
      <c r="B638" s="928" t="s">
        <v>867</v>
      </c>
      <c r="C638" s="929"/>
      <c r="D638" s="930"/>
      <c r="E638" s="930"/>
      <c r="F638" s="930"/>
      <c r="G638" s="930"/>
      <c r="H638" s="931"/>
      <c r="I638" s="932"/>
      <c r="J638" s="930"/>
      <c r="K638" s="933"/>
      <c r="L638" s="933"/>
      <c r="M638" s="933"/>
      <c r="N638" s="933"/>
      <c r="O638" s="934"/>
      <c r="P638" s="75"/>
      <c r="Q638" s="10" t="s">
        <v>866</v>
      </c>
      <c r="R638" s="10"/>
      <c r="S638" s="10"/>
      <c r="T638" s="10"/>
      <c r="U638" s="10"/>
      <c r="X638" s="10"/>
    </row>
    <row r="639" spans="1:24" ht="12" customHeight="1" x14ac:dyDescent="0.25">
      <c r="A639" s="1" t="str">
        <f>IF(R639=0,"",COUNTIF(A$23:A638,"&gt;0")+1)</f>
        <v/>
      </c>
      <c r="B639" s="861"/>
      <c r="C639" s="869" t="s">
        <v>42</v>
      </c>
      <c r="D639" s="870" t="s">
        <v>1478</v>
      </c>
      <c r="E639" s="871"/>
      <c r="F639" s="871"/>
      <c r="G639" s="872"/>
      <c r="H639" s="873" t="s">
        <v>1455</v>
      </c>
      <c r="I639" s="862">
        <v>1</v>
      </c>
      <c r="J639" s="863"/>
      <c r="K639" s="864">
        <v>5021353014617</v>
      </c>
      <c r="L639" s="864">
        <v>5021353014617</v>
      </c>
      <c r="M639" s="865"/>
      <c r="N639" s="864"/>
      <c r="O639" s="866"/>
      <c r="P639" s="10" t="s">
        <v>66</v>
      </c>
      <c r="Q639" s="10" t="s">
        <v>866</v>
      </c>
      <c r="R639" s="10">
        <f>B639</f>
        <v>0</v>
      </c>
      <c r="S639" s="10">
        <v>25</v>
      </c>
      <c r="T639" s="10">
        <v>1</v>
      </c>
      <c r="U639" s="10">
        <f>T639*B639</f>
        <v>0</v>
      </c>
      <c r="X639" s="10"/>
    </row>
    <row r="640" spans="1:24" ht="12" customHeight="1" x14ac:dyDescent="0.25">
      <c r="A640" s="1" t="str">
        <f>IF(R640=0,"",COUNTIF(A$23:A639,"&gt;0")+1)</f>
        <v/>
      </c>
      <c r="B640" s="955"/>
      <c r="C640" s="1057" t="s">
        <v>51</v>
      </c>
      <c r="D640" s="956" t="s">
        <v>1461</v>
      </c>
      <c r="E640" s="957"/>
      <c r="F640" s="957"/>
      <c r="G640" s="958"/>
      <c r="H640" s="959" t="s">
        <v>1455</v>
      </c>
      <c r="I640" s="960">
        <f>VLOOKUP(D640,A!A$1:H$767,8,FALSE)</f>
        <v>1</v>
      </c>
      <c r="J640" s="961"/>
      <c r="K640" s="989">
        <v>5021353014617</v>
      </c>
      <c r="L640" s="962"/>
      <c r="M640" s="963"/>
      <c r="N640" s="962"/>
      <c r="O640" s="964"/>
      <c r="P640" s="10" t="str">
        <f>VLOOKUP(D640,A!A$1:G$767,2,FALSE)</f>
        <v>Y</v>
      </c>
      <c r="Q640" s="10" t="s">
        <v>866</v>
      </c>
      <c r="R640" s="10">
        <f>B640</f>
        <v>0</v>
      </c>
      <c r="S640" s="10">
        <f>VLOOKUP(D640,A!A$1:AK$767,31,FALSE)</f>
        <v>25</v>
      </c>
      <c r="T640" s="10">
        <v>0.2</v>
      </c>
      <c r="U640" s="10">
        <f>T640*B640</f>
        <v>0</v>
      </c>
      <c r="X640" s="10"/>
    </row>
    <row r="641" spans="1:25" ht="12" customHeight="1" x14ac:dyDescent="0.25">
      <c r="A641" s="1" t="str">
        <f>IF(R641=0,"",COUNTIF(A$23:A640,"&gt;0")+1)</f>
        <v/>
      </c>
      <c r="B641" s="955"/>
      <c r="C641" s="1057" t="s">
        <v>42</v>
      </c>
      <c r="D641" s="956" t="s">
        <v>1460</v>
      </c>
      <c r="E641" s="957"/>
      <c r="F641" s="957"/>
      <c r="G641" s="958"/>
      <c r="H641" s="965" t="s">
        <v>1453</v>
      </c>
      <c r="I641" s="960">
        <v>1</v>
      </c>
      <c r="J641" s="961"/>
      <c r="K641" s="989">
        <v>5021353014617</v>
      </c>
      <c r="L641" s="962"/>
      <c r="M641" s="963"/>
      <c r="N641" s="962"/>
      <c r="O641" s="964"/>
      <c r="P641" s="10" t="str">
        <f>VLOOKUP(D641,A!A$1:G$767,2,FALSE)</f>
        <v>y</v>
      </c>
      <c r="Q641" s="10" t="s">
        <v>866</v>
      </c>
      <c r="R641" s="10">
        <f t="shared" ref="R641:R642" si="64">B641</f>
        <v>0</v>
      </c>
      <c r="S641" s="10">
        <f>VLOOKUP(D641,A!A$1:AK$767,31,FALSE)</f>
        <v>0</v>
      </c>
      <c r="T641" s="10">
        <v>0.2</v>
      </c>
      <c r="U641" s="10">
        <f t="shared" ref="U641:U642" si="65">T641*B641</f>
        <v>0</v>
      </c>
      <c r="X641" s="10"/>
    </row>
    <row r="642" spans="1:25" ht="12" customHeight="1" x14ac:dyDescent="0.25">
      <c r="A642" s="1" t="str">
        <f>IF(R642=0,"",COUNTIF(A$23:A641,"&gt;0")+1)</f>
        <v/>
      </c>
      <c r="B642" s="947">
        <f>SUM(B641)</f>
        <v>0</v>
      </c>
      <c r="C642" s="1058" t="s">
        <v>51</v>
      </c>
      <c r="D642" s="948" t="s">
        <v>1467</v>
      </c>
      <c r="E642" s="949"/>
      <c r="F642" s="949"/>
      <c r="G642" s="950"/>
      <c r="H642" s="951" t="s">
        <v>1448</v>
      </c>
      <c r="I642" s="528">
        <v>1</v>
      </c>
      <c r="J642" s="952"/>
      <c r="K642" s="989">
        <v>5021353014617</v>
      </c>
      <c r="L642" s="809"/>
      <c r="M642" s="953"/>
      <c r="N642" s="809"/>
      <c r="O642" s="954"/>
      <c r="P642" s="10" t="str">
        <f>VLOOKUP(D642,A!A$1:G$767,2,FALSE)</f>
        <v>y</v>
      </c>
      <c r="Q642" s="10" t="s">
        <v>866</v>
      </c>
      <c r="R642" s="10">
        <f t="shared" si="64"/>
        <v>0</v>
      </c>
      <c r="S642" s="10">
        <f>VLOOKUP(D642,A!A$1:AK$767,31,FALSE)</f>
        <v>0</v>
      </c>
      <c r="T642" s="10">
        <v>0.2</v>
      </c>
      <c r="U642" s="10">
        <f t="shared" si="65"/>
        <v>0</v>
      </c>
      <c r="X642" s="10"/>
    </row>
    <row r="643" spans="1:25" ht="15" hidden="1" customHeight="1" x14ac:dyDescent="0.25">
      <c r="A643" s="1" t="str">
        <f>IF(R643=0,"",COUNTIF(A$23:A642,"&gt;0")+1)</f>
        <v/>
      </c>
      <c r="B643" s="847"/>
      <c r="C643" s="1059" t="s">
        <v>864</v>
      </c>
      <c r="D643" s="899" t="s">
        <v>868</v>
      </c>
      <c r="E643" s="874"/>
      <c r="F643" s="874"/>
      <c r="G643" s="875" t="s">
        <v>869</v>
      </c>
      <c r="H643" s="774" t="s">
        <v>1311</v>
      </c>
      <c r="I643" s="626">
        <f>VLOOKUP(D643,A!A$1:H$767,8,FALSE)</f>
        <v>1</v>
      </c>
      <c r="J643" s="627"/>
      <c r="K643" s="990">
        <v>5021353014617</v>
      </c>
      <c r="L643" s="900"/>
      <c r="M643" s="810"/>
      <c r="N643" s="900"/>
      <c r="O643" s="901"/>
      <c r="P643" s="10">
        <f>VLOOKUP(D643,A!A$1:G$767,2,FALSE)</f>
        <v>0</v>
      </c>
      <c r="Q643" s="10" t="s">
        <v>866</v>
      </c>
      <c r="R643" s="10">
        <f t="shared" ref="R643:R649" si="66">B643</f>
        <v>0</v>
      </c>
      <c r="S643" s="10">
        <f>VLOOKUP(D643,A!A$1:AK$767,31,FALSE)</f>
        <v>25</v>
      </c>
      <c r="T643" s="10">
        <v>0.2</v>
      </c>
      <c r="U643" s="10">
        <f t="shared" ref="U643:U649" si="67">T643*B643</f>
        <v>0</v>
      </c>
      <c r="X643" s="10"/>
    </row>
    <row r="644" spans="1:25" ht="15" hidden="1" customHeight="1" x14ac:dyDescent="0.25">
      <c r="A644" s="1" t="str">
        <f>IF(R644=0,"",COUNTIF(A$23:A643,"&gt;0")+1)</f>
        <v/>
      </c>
      <c r="B644" s="848"/>
      <c r="C644" s="1060" t="s">
        <v>42</v>
      </c>
      <c r="D644" s="935" t="s">
        <v>1312</v>
      </c>
      <c r="E644" s="877"/>
      <c r="F644" s="877"/>
      <c r="G644" s="878"/>
      <c r="H644" s="936" t="s">
        <v>1458</v>
      </c>
      <c r="I644" s="681">
        <v>1</v>
      </c>
      <c r="J644" s="682"/>
      <c r="K644" s="991">
        <v>5021353014617</v>
      </c>
      <c r="L644" s="683"/>
      <c r="M644" s="712"/>
      <c r="N644" s="683"/>
      <c r="O644" s="849"/>
      <c r="P644" s="10">
        <f>VLOOKUP(D644,A!A$1:G$767,2,FALSE)</f>
        <v>0</v>
      </c>
      <c r="Q644" s="10" t="s">
        <v>866</v>
      </c>
      <c r="R644" s="10">
        <f>B644</f>
        <v>0</v>
      </c>
      <c r="S644" s="10">
        <f>VLOOKUP(D644,A!A$1:AK$767,31,FALSE)</f>
        <v>25</v>
      </c>
      <c r="T644" s="10">
        <v>1</v>
      </c>
      <c r="U644" s="10">
        <f>T644*B644</f>
        <v>0</v>
      </c>
      <c r="X644" s="10"/>
    </row>
    <row r="645" spans="1:25" ht="12" customHeight="1" x14ac:dyDescent="0.25">
      <c r="A645" s="1" t="str">
        <f>IF(R645=0,"",COUNTIF(A$23:A644,"&gt;0")+1)</f>
        <v/>
      </c>
      <c r="B645" s="937"/>
      <c r="C645" s="1061" t="s">
        <v>51</v>
      </c>
      <c r="D645" s="938" t="s">
        <v>1462</v>
      </c>
      <c r="E645" s="939"/>
      <c r="F645" s="939"/>
      <c r="G645" s="940" t="s">
        <v>870</v>
      </c>
      <c r="H645" s="941" t="s">
        <v>1455</v>
      </c>
      <c r="I645" s="942">
        <f>VLOOKUP(D645,A!A$1:H$767,8,FALSE)</f>
        <v>2</v>
      </c>
      <c r="J645" s="943" t="s">
        <v>63</v>
      </c>
      <c r="K645" s="992">
        <v>5021353014617</v>
      </c>
      <c r="L645" s="944"/>
      <c r="M645" s="945"/>
      <c r="N645" s="944"/>
      <c r="O645" s="946"/>
      <c r="P645" s="10" t="str">
        <f>VLOOKUP(D645,A!A$1:G$767,2,FALSE)</f>
        <v>Y</v>
      </c>
      <c r="Q645" s="10" t="s">
        <v>866</v>
      </c>
      <c r="R645" s="10">
        <f t="shared" si="66"/>
        <v>0</v>
      </c>
      <c r="S645" s="10">
        <f>VLOOKUP(D645,A!A$1:AK$767,31,FALSE)</f>
        <v>25</v>
      </c>
      <c r="T645" s="10">
        <v>0.2</v>
      </c>
      <c r="U645" s="10">
        <f t="shared" si="67"/>
        <v>0</v>
      </c>
      <c r="X645" s="10"/>
    </row>
    <row r="646" spans="1:25" ht="12" customHeight="1" x14ac:dyDescent="0.25">
      <c r="A646" s="1" t="str">
        <f>IF(R646=0,"",COUNTIF(A$23:A645,"&gt;0")+1)</f>
        <v/>
      </c>
      <c r="B646" s="848"/>
      <c r="C646" s="1060" t="s">
        <v>51</v>
      </c>
      <c r="D646" s="876" t="s">
        <v>1463</v>
      </c>
      <c r="E646" s="877"/>
      <c r="F646" s="877"/>
      <c r="G646" s="878" t="s">
        <v>869</v>
      </c>
      <c r="H646" s="879" t="s">
        <v>1455</v>
      </c>
      <c r="I646" s="681">
        <f>VLOOKUP(D646,A!A$1:H$767,8,FALSE)</f>
        <v>1</v>
      </c>
      <c r="J646" s="682"/>
      <c r="K646" s="993">
        <v>5021353015300</v>
      </c>
      <c r="L646" s="683"/>
      <c r="M646" s="712"/>
      <c r="N646" s="683"/>
      <c r="O646" s="849"/>
      <c r="P646" s="10" t="str">
        <f>VLOOKUP(D646,A!A$1:G$767,2,FALSE)</f>
        <v>Y</v>
      </c>
      <c r="Q646" s="10" t="s">
        <v>866</v>
      </c>
      <c r="R646" s="10">
        <f t="shared" si="66"/>
        <v>0</v>
      </c>
      <c r="S646" s="10">
        <f>VLOOKUP(D646,A!A$1:AK$767,31,FALSE)</f>
        <v>25</v>
      </c>
      <c r="T646" s="10">
        <v>0.2</v>
      </c>
      <c r="U646" s="10">
        <f t="shared" si="67"/>
        <v>0</v>
      </c>
      <c r="X646" s="10"/>
    </row>
    <row r="647" spans="1:25" ht="12" customHeight="1" x14ac:dyDescent="0.25">
      <c r="A647" s="1" t="str">
        <f>IF(R647=0,"",COUNTIF(A$23:A646,"&gt;0")+1)</f>
        <v/>
      </c>
      <c r="B647" s="850"/>
      <c r="C647" s="1062" t="s">
        <v>51</v>
      </c>
      <c r="D647" s="880" t="s">
        <v>1464</v>
      </c>
      <c r="E647" s="881"/>
      <c r="F647" s="881"/>
      <c r="G647" s="882" t="s">
        <v>872</v>
      </c>
      <c r="H647" s="883" t="s">
        <v>1456</v>
      </c>
      <c r="I647" s="671">
        <f>VLOOKUP(D647,A!A$1:H$767,8,FALSE)</f>
        <v>2</v>
      </c>
      <c r="J647" s="684"/>
      <c r="K647" s="994">
        <v>5021353015270</v>
      </c>
      <c r="L647" s="685"/>
      <c r="M647" s="713"/>
      <c r="N647" s="685"/>
      <c r="O647" s="851"/>
      <c r="P647" s="10" t="str">
        <f>VLOOKUP(D647,A!A$1:G$767,2,FALSE)</f>
        <v>Y</v>
      </c>
      <c r="Q647" s="10" t="s">
        <v>866</v>
      </c>
      <c r="R647" s="10">
        <f t="shared" si="66"/>
        <v>0</v>
      </c>
      <c r="S647" s="10">
        <f>VLOOKUP(D647,A!A$1:AK$767,31,FALSE)</f>
        <v>25</v>
      </c>
      <c r="T647" s="10">
        <v>0.2</v>
      </c>
      <c r="U647" s="10">
        <f t="shared" si="67"/>
        <v>0</v>
      </c>
      <c r="X647" s="10"/>
    </row>
    <row r="648" spans="1:25" ht="11.25" hidden="1" customHeight="1" x14ac:dyDescent="0.25">
      <c r="A648" s="1" t="str">
        <f>IF(R648=0,"",COUNTIF(A$23:A647,"&gt;0")+1)</f>
        <v/>
      </c>
      <c r="B648" s="852"/>
      <c r="C648" s="1063" t="s">
        <v>864</v>
      </c>
      <c r="D648" s="884" t="s">
        <v>873</v>
      </c>
      <c r="E648" s="885"/>
      <c r="F648" s="885"/>
      <c r="G648" s="886" t="s">
        <v>874</v>
      </c>
      <c r="H648" s="887" t="s">
        <v>1345</v>
      </c>
      <c r="I648" s="67">
        <f>VLOOKUP(D648,A!A$1:H$767,8,FALSE)</f>
        <v>1</v>
      </c>
      <c r="J648" s="250" t="s">
        <v>63</v>
      </c>
      <c r="K648" s="995">
        <v>5021353015232</v>
      </c>
      <c r="L648" s="563"/>
      <c r="M648" s="735"/>
      <c r="N648" s="563"/>
      <c r="O648" s="853"/>
      <c r="P648" s="10">
        <f>VLOOKUP(D648,A!A$1:G$767,2,FALSE)</f>
        <v>0</v>
      </c>
      <c r="Q648" s="10" t="s">
        <v>866</v>
      </c>
      <c r="R648" s="10">
        <f t="shared" si="66"/>
        <v>0</v>
      </c>
      <c r="S648" s="10">
        <f>VLOOKUP(D648,A!A$1:AK$767,31,FALSE)</f>
        <v>25</v>
      </c>
      <c r="T648" s="10">
        <v>0.2</v>
      </c>
      <c r="U648" s="10">
        <f t="shared" si="67"/>
        <v>0</v>
      </c>
      <c r="X648" s="10"/>
    </row>
    <row r="649" spans="1:25" ht="10.5" hidden="1" customHeight="1" thickBot="1" x14ac:dyDescent="0.3">
      <c r="A649" s="1" t="str">
        <f>IF(R649=0,"",COUNTIF(A$23:A648,"&gt;0")+1)</f>
        <v/>
      </c>
      <c r="B649" s="854"/>
      <c r="C649" s="1064" t="s">
        <v>864</v>
      </c>
      <c r="D649" s="888" t="s">
        <v>875</v>
      </c>
      <c r="E649" s="889"/>
      <c r="F649" s="889"/>
      <c r="G649" s="890" t="s">
        <v>876</v>
      </c>
      <c r="H649" s="891" t="s">
        <v>1345</v>
      </c>
      <c r="I649" s="355">
        <f>VLOOKUP(D649,A!A$1:H$767,8,FALSE)</f>
        <v>1</v>
      </c>
      <c r="J649" s="771"/>
      <c r="K649" s="996">
        <v>5021353014983</v>
      </c>
      <c r="L649" s="564"/>
      <c r="M649" s="729"/>
      <c r="N649" s="564"/>
      <c r="O649" s="855"/>
      <c r="P649" s="10">
        <f>VLOOKUP(D649,A!A$1:G$767,2,FALSE)</f>
        <v>0</v>
      </c>
      <c r="Q649" s="10" t="s">
        <v>866</v>
      </c>
      <c r="R649" s="10">
        <f t="shared" si="66"/>
        <v>0</v>
      </c>
      <c r="S649" s="10">
        <f>VLOOKUP(D649,A!A$1:AK$767,31,FALSE)</f>
        <v>25</v>
      </c>
      <c r="T649" s="10">
        <v>0.2</v>
      </c>
      <c r="U649" s="10">
        <f t="shared" si="67"/>
        <v>0</v>
      </c>
      <c r="X649" s="10"/>
    </row>
    <row r="650" spans="1:25" ht="11.25" hidden="1" customHeight="1" x14ac:dyDescent="0.25">
      <c r="A650" s="1" t="str">
        <f>IF(R650=0,"",COUNTIF(A$23:A649,"&gt;0")+1)</f>
        <v/>
      </c>
      <c r="B650" s="856"/>
      <c r="C650" s="1065"/>
      <c r="D650" s="892"/>
      <c r="E650" s="892"/>
      <c r="F650" s="892"/>
      <c r="G650" s="893"/>
      <c r="H650" s="894"/>
      <c r="I650" s="252"/>
      <c r="J650" s="251"/>
      <c r="K650" s="997"/>
      <c r="L650" s="253"/>
      <c r="M650" s="811"/>
      <c r="N650" s="253"/>
      <c r="O650" s="857"/>
      <c r="P650" s="75"/>
      <c r="Q650" s="10" t="s">
        <v>866</v>
      </c>
      <c r="R650" s="10"/>
      <c r="S650" s="10"/>
      <c r="T650" s="10"/>
      <c r="U650" s="10"/>
      <c r="X650" s="10"/>
    </row>
    <row r="651" spans="1:25" ht="11.25" hidden="1" customHeight="1" x14ac:dyDescent="0.25">
      <c r="A651" s="1" t="str">
        <f>IF(R651=0,"",COUNTIF(A$23:A650,"&gt;0")+1)</f>
        <v/>
      </c>
      <c r="B651" s="858"/>
      <c r="C651" s="1063" t="s">
        <v>864</v>
      </c>
      <c r="D651" s="895" t="s">
        <v>878</v>
      </c>
      <c r="E651" s="896"/>
      <c r="F651" s="896"/>
      <c r="G651" s="897" t="s">
        <v>879</v>
      </c>
      <c r="H651" s="898" t="s">
        <v>871</v>
      </c>
      <c r="I651" s="67">
        <f>VLOOKUP(D651,A!A$1:H$767,8,FALSE)</f>
        <v>1</v>
      </c>
      <c r="J651" s="250" t="s">
        <v>63</v>
      </c>
      <c r="K651" s="995">
        <v>5021353015356</v>
      </c>
      <c r="L651" s="563"/>
      <c r="M651" s="735"/>
      <c r="N651" s="563"/>
      <c r="O651" s="853"/>
      <c r="P651" s="10">
        <f>VLOOKUP(D651,A!A$1:G$767,2,FALSE)</f>
        <v>0</v>
      </c>
      <c r="Q651" s="10" t="s">
        <v>866</v>
      </c>
      <c r="R651" s="10">
        <f t="shared" ref="R651:R657" si="68">B651</f>
        <v>0</v>
      </c>
      <c r="S651" s="10">
        <f>VLOOKUP(D651,A!A$1:AK$767,31,FALSE)</f>
        <v>25</v>
      </c>
      <c r="T651" s="10">
        <v>0.2</v>
      </c>
      <c r="U651" s="10">
        <f t="shared" ref="U651:U656" si="69">T651*B651</f>
        <v>0</v>
      </c>
      <c r="X651" s="10"/>
    </row>
    <row r="652" spans="1:25" ht="11.25" hidden="1" customHeight="1" thickBot="1" x14ac:dyDescent="0.3">
      <c r="A652" s="1" t="str">
        <f>IF(R652=0,"",COUNTIF(A$23:A651,"&gt;0")+1)</f>
        <v/>
      </c>
      <c r="B652" s="854"/>
      <c r="C652" s="1064" t="s">
        <v>864</v>
      </c>
      <c r="D652" s="888" t="s">
        <v>880</v>
      </c>
      <c r="E652" s="889"/>
      <c r="F652" s="889"/>
      <c r="G652" s="890" t="s">
        <v>881</v>
      </c>
      <c r="H652" s="891" t="s">
        <v>1289</v>
      </c>
      <c r="I652" s="355">
        <f>VLOOKUP(D652,A!A$1:H$767,8,FALSE)</f>
        <v>1</v>
      </c>
      <c r="J652" s="255" t="s">
        <v>63</v>
      </c>
      <c r="K652" s="996">
        <v>5021353015225</v>
      </c>
      <c r="L652" s="564"/>
      <c r="M652" s="729"/>
      <c r="N652" s="564"/>
      <c r="O652" s="855"/>
      <c r="P652" s="10">
        <f>VLOOKUP(D652,A!A$1:G$767,2,FALSE)</f>
        <v>0</v>
      </c>
      <c r="Q652" s="10" t="s">
        <v>866</v>
      </c>
      <c r="R652" s="10">
        <f t="shared" si="68"/>
        <v>0</v>
      </c>
      <c r="S652" s="10">
        <f>VLOOKUP(D652,A!A$1:AK$767,31,FALSE)</f>
        <v>25</v>
      </c>
      <c r="T652" s="10">
        <v>0.2</v>
      </c>
      <c r="U652" s="10">
        <f t="shared" si="69"/>
        <v>0</v>
      </c>
      <c r="X652" s="10"/>
    </row>
    <row r="653" spans="1:25" ht="11.25" hidden="1" customHeight="1" x14ac:dyDescent="0.25">
      <c r="A653" s="1" t="str">
        <f>IF(R653=0,"",COUNTIF(A$23:A652,"&gt;0")+1)</f>
        <v/>
      </c>
      <c r="B653" s="858"/>
      <c r="C653" s="1066" t="s">
        <v>864</v>
      </c>
      <c r="D653" s="895" t="s">
        <v>882</v>
      </c>
      <c r="E653" s="896"/>
      <c r="F653" s="896"/>
      <c r="G653" s="897" t="s">
        <v>883</v>
      </c>
      <c r="H653" s="898" t="s">
        <v>871</v>
      </c>
      <c r="I653" s="150">
        <f>VLOOKUP(D653,A!A$1:H$767,8,FALSE)</f>
        <v>1</v>
      </c>
      <c r="J653" s="250" t="s">
        <v>63</v>
      </c>
      <c r="K653" s="998">
        <v>5021353015317</v>
      </c>
      <c r="L653" s="565"/>
      <c r="M653" s="812"/>
      <c r="N653" s="565"/>
      <c r="O653" s="859"/>
      <c r="P653" s="10">
        <f>VLOOKUP(D653,A!A$1:G$767,2,FALSE)</f>
        <v>0</v>
      </c>
      <c r="Q653" s="10" t="s">
        <v>866</v>
      </c>
      <c r="R653" s="10">
        <f t="shared" si="68"/>
        <v>0</v>
      </c>
      <c r="S653" s="10">
        <f>VLOOKUP(D653,A!A$1:AK$767,31,FALSE)</f>
        <v>25</v>
      </c>
      <c r="T653" s="10">
        <v>0.2</v>
      </c>
      <c r="U653" s="10">
        <f t="shared" si="69"/>
        <v>0</v>
      </c>
      <c r="X653" s="10"/>
    </row>
    <row r="654" spans="1:25" ht="11.25" hidden="1" customHeight="1" x14ac:dyDescent="0.25">
      <c r="A654" s="1" t="str">
        <f>IF(R654=0,"",COUNTIF(A$23:A653,"&gt;0")+1)</f>
        <v/>
      </c>
      <c r="B654" s="852"/>
      <c r="C654" s="1063" t="s">
        <v>864</v>
      </c>
      <c r="D654" s="884" t="s">
        <v>884</v>
      </c>
      <c r="E654" s="885"/>
      <c r="F654" s="885"/>
      <c r="G654" s="886" t="s">
        <v>885</v>
      </c>
      <c r="H654" s="887" t="s">
        <v>871</v>
      </c>
      <c r="I654" s="67">
        <f>VLOOKUP(D654,A!A$1:H$767,8,FALSE)</f>
        <v>1</v>
      </c>
      <c r="J654" s="250" t="s">
        <v>63</v>
      </c>
      <c r="K654" s="999">
        <v>5021353015324</v>
      </c>
      <c r="L654" s="545"/>
      <c r="M654" s="813"/>
      <c r="N654" s="545"/>
      <c r="O654" s="853"/>
      <c r="P654" s="10">
        <f>VLOOKUP(D654,A!A$1:G$767,2,FALSE)</f>
        <v>0</v>
      </c>
      <c r="Q654" s="10" t="s">
        <v>866</v>
      </c>
      <c r="R654" s="10">
        <f t="shared" si="68"/>
        <v>0</v>
      </c>
      <c r="S654" s="10">
        <f>VLOOKUP(D654,A!A$1:AK$767,31,FALSE)</f>
        <v>25</v>
      </c>
      <c r="T654" s="10">
        <v>0.2</v>
      </c>
      <c r="U654" s="10">
        <f t="shared" si="69"/>
        <v>0</v>
      </c>
      <c r="X654" s="10"/>
    </row>
    <row r="655" spans="1:25" ht="11.25" hidden="1" customHeight="1" x14ac:dyDescent="0.25">
      <c r="A655" s="1" t="str">
        <f>IF(R655=0,"",COUNTIF(A$23:A654,"&gt;0")+1)</f>
        <v/>
      </c>
      <c r="B655" s="1032"/>
      <c r="C655" s="1067" t="s">
        <v>864</v>
      </c>
      <c r="D655" s="1033" t="s">
        <v>886</v>
      </c>
      <c r="E655" s="1034"/>
      <c r="F655" s="1034"/>
      <c r="G655" s="1035" t="s">
        <v>520</v>
      </c>
      <c r="H655" s="1036" t="s">
        <v>871</v>
      </c>
      <c r="I655" s="219">
        <f>VLOOKUP(D655,A!A$1:H$767,8,FALSE)</f>
        <v>1</v>
      </c>
      <c r="J655" s="952" t="s">
        <v>63</v>
      </c>
      <c r="K655" s="1037">
        <v>5021353015263</v>
      </c>
      <c r="L655" s="1038"/>
      <c r="M655" s="1039"/>
      <c r="N655" s="1038"/>
      <c r="O655" s="1040"/>
      <c r="P655" s="10">
        <f>VLOOKUP(D655,A!A$1:G$767,2,FALSE)</f>
        <v>0</v>
      </c>
      <c r="Q655" s="10" t="s">
        <v>866</v>
      </c>
      <c r="R655" s="10">
        <f t="shared" si="68"/>
        <v>0</v>
      </c>
      <c r="S655" s="10">
        <f>VLOOKUP(D655,A!A$1:AK$767,31,FALSE)</f>
        <v>25</v>
      </c>
      <c r="T655" s="10">
        <v>0.2</v>
      </c>
      <c r="U655" s="10">
        <f t="shared" si="69"/>
        <v>0</v>
      </c>
      <c r="X655" s="10"/>
    </row>
    <row r="656" spans="1:25" ht="11.25" customHeight="1" thickBot="1" x14ac:dyDescent="0.3">
      <c r="A656" s="1" t="str">
        <f>IF(R656=0,"",COUNTIF(A$23:A655,"&gt;0")+1)</f>
        <v/>
      </c>
      <c r="B656" s="987"/>
      <c r="C656" s="1068" t="s">
        <v>51</v>
      </c>
      <c r="D656" s="1041" t="str">
        <f>A!A458</f>
        <v>Floating Tub Nymphoides peltata</v>
      </c>
      <c r="E656" s="1042"/>
      <c r="F656" s="1042"/>
      <c r="G656" s="1043" t="s">
        <v>887</v>
      </c>
      <c r="H656" s="1044" t="s">
        <v>1455</v>
      </c>
      <c r="I656" s="1045">
        <f>VLOOKUP(D656,A!A$1:H$767,8,FALSE)</f>
        <v>1</v>
      </c>
      <c r="J656" s="1046"/>
      <c r="K656" s="1047">
        <v>5021353015287</v>
      </c>
      <c r="L656" s="1048"/>
      <c r="M656" s="1049"/>
      <c r="N656" s="1048"/>
      <c r="O656" s="1050"/>
      <c r="P656" s="649" t="str">
        <f>VLOOKUP(D656,A!A$1:G$767,2,FALSE)</f>
        <v>Y</v>
      </c>
      <c r="Q656" s="649" t="s">
        <v>866</v>
      </c>
      <c r="R656" s="649">
        <f t="shared" si="68"/>
        <v>0</v>
      </c>
      <c r="S656" s="649">
        <f>VLOOKUP(D656,A!A$1:AK$767,31,FALSE)</f>
        <v>25</v>
      </c>
      <c r="T656" s="649">
        <v>0.2</v>
      </c>
      <c r="U656" s="649">
        <f t="shared" si="69"/>
        <v>0</v>
      </c>
      <c r="V656" s="650"/>
      <c r="W656" s="650"/>
      <c r="X656" s="649"/>
      <c r="Y656" s="651"/>
    </row>
    <row r="657" spans="1:24" x14ac:dyDescent="0.25">
      <c r="A657" s="1" t="str">
        <f>IF(R657=0,"",COUNTIF(A$23:A656,"&gt;0")+1)</f>
        <v/>
      </c>
      <c r="B657" s="528">
        <f>B639*5+SUM(B640:B656)+B637</f>
        <v>0</v>
      </c>
      <c r="C657" s="257" t="s">
        <v>51</v>
      </c>
      <c r="D657" s="172" t="s">
        <v>1457</v>
      </c>
      <c r="K657" s="5"/>
      <c r="M657" s="809"/>
      <c r="O657" s="249"/>
      <c r="P657" s="75"/>
      <c r="Q657" s="10" t="s">
        <v>866</v>
      </c>
      <c r="R657" s="10">
        <f t="shared" si="68"/>
        <v>0</v>
      </c>
      <c r="S657" s="10"/>
      <c r="T657" s="10"/>
      <c r="U657" s="10"/>
      <c r="X657" s="10"/>
    </row>
    <row r="658" spans="1:24" ht="6" customHeight="1" thickBot="1" x14ac:dyDescent="0.3">
      <c r="A658" s="1" t="str">
        <f>IF(R658=0,"",COUNTIF(A$23:A657,"&gt;0")+1)</f>
        <v/>
      </c>
      <c r="M658" s="809"/>
      <c r="P658" s="10"/>
      <c r="Q658" s="10"/>
      <c r="R658" s="10"/>
      <c r="S658" s="10"/>
      <c r="T658" s="10"/>
      <c r="U658" s="10"/>
      <c r="X658" s="10"/>
    </row>
    <row r="659" spans="1:24" ht="8.25" customHeight="1" thickBot="1" x14ac:dyDescent="0.3">
      <c r="A659" s="1" t="str">
        <f>IF(R659=0,"",COUNTIF(A$23:A658,"&gt;0")+1)</f>
        <v/>
      </c>
      <c r="B659" s="1198" t="s">
        <v>41</v>
      </c>
      <c r="C659" s="1198"/>
      <c r="D659" s="1199" t="s">
        <v>1432</v>
      </c>
      <c r="E659" s="1199"/>
      <c r="F659" s="1199"/>
      <c r="G659" s="1199"/>
      <c r="H659" s="1267"/>
      <c r="I659" s="550"/>
      <c r="J659" s="550"/>
      <c r="K659" s="550"/>
      <c r="L659" s="550"/>
      <c r="M659" s="550"/>
      <c r="N659" s="550"/>
      <c r="O659" s="551"/>
      <c r="P659" s="10"/>
      <c r="Q659" s="10"/>
      <c r="R659" s="10"/>
      <c r="S659" s="10"/>
      <c r="T659" s="10"/>
      <c r="U659" s="10"/>
      <c r="X659" s="10"/>
    </row>
    <row r="660" spans="1:24" ht="9.75" customHeight="1" thickBot="1" x14ac:dyDescent="0.3">
      <c r="A660" s="1" t="str">
        <f>IF(R660=0,"",COUNTIF(A$23:A659,"&gt;0")+1)</f>
        <v/>
      </c>
      <c r="B660" s="1198"/>
      <c r="C660" s="1198"/>
      <c r="D660" s="1199"/>
      <c r="E660" s="1199"/>
      <c r="F660" s="1199"/>
      <c r="G660" s="1199"/>
      <c r="H660" s="1268"/>
      <c r="I660" s="566" t="s">
        <v>47</v>
      </c>
      <c r="J660" s="552"/>
      <c r="K660" s="552"/>
      <c r="L660" s="552"/>
      <c r="M660" s="552"/>
      <c r="N660" s="552"/>
      <c r="O660" s="553"/>
      <c r="P660" s="75" t="s">
        <v>49</v>
      </c>
      <c r="Q660" s="10"/>
      <c r="R660" s="10"/>
      <c r="S660" s="10"/>
      <c r="T660" s="10"/>
      <c r="U660" s="10"/>
      <c r="X660" s="10"/>
    </row>
    <row r="661" spans="1:24" ht="12" customHeight="1" x14ac:dyDescent="0.25">
      <c r="A661" s="1" t="str">
        <f>IF(R661=0,"",COUNTIF(A$23:A660,"&gt;0")+1)</f>
        <v/>
      </c>
      <c r="B661" s="258"/>
      <c r="C661" s="1051" t="s">
        <v>888</v>
      </c>
      <c r="D661" s="1053" t="s">
        <v>889</v>
      </c>
      <c r="E661" s="259"/>
      <c r="F661" s="259"/>
      <c r="G661" s="570" t="s">
        <v>890</v>
      </c>
      <c r="H661" s="260" t="s">
        <v>1286</v>
      </c>
      <c r="I661" s="150">
        <f>VLOOKUP(D661,A!A$1:H$767,8,FALSE)</f>
        <v>2</v>
      </c>
      <c r="J661" s="555"/>
      <c r="K661" s="556">
        <f>IF(VLOOKUP(D661,A!A$1:H$767,4,FALSE)="y",1,0)</f>
        <v>1</v>
      </c>
      <c r="L661" s="556">
        <f>IF(VLOOKUP(D661,A!A$1:H$767,5,FALSE)="y",1,0)</f>
        <v>0</v>
      </c>
      <c r="M661" s="806"/>
      <c r="N661" s="557">
        <f>VLOOKUP(D661,A!A$1:H$767,6,FALSE)</f>
        <v>0</v>
      </c>
      <c r="O661" s="807">
        <v>5</v>
      </c>
      <c r="P661" s="10" t="str">
        <f>VLOOKUP(D661,A!A$1:G$767,2,FALSE)</f>
        <v>y</v>
      </c>
      <c r="Q661" s="10" t="s">
        <v>891</v>
      </c>
      <c r="R661" s="10">
        <f t="shared" ref="R661:R668" si="70">B661</f>
        <v>0</v>
      </c>
      <c r="S661" s="10"/>
      <c r="T661" s="10"/>
      <c r="U661" s="10"/>
      <c r="X661" s="10"/>
    </row>
    <row r="662" spans="1:24" ht="12" customHeight="1" x14ac:dyDescent="0.25">
      <c r="A662" s="1" t="str">
        <f>IF(R662=0,"",COUNTIF(A$23:A661,"&gt;0")+1)</f>
        <v/>
      </c>
      <c r="B662" s="261"/>
      <c r="C662" s="1052" t="s">
        <v>528</v>
      </c>
      <c r="D662" s="1054" t="s">
        <v>892</v>
      </c>
      <c r="E662" s="65"/>
      <c r="F662" s="65"/>
      <c r="G662" s="262" t="s">
        <v>869</v>
      </c>
      <c r="H662" s="263" t="s">
        <v>1482</v>
      </c>
      <c r="I662" s="67">
        <f>VLOOKUP(D662,A!A$1:H$767,8,FALSE)</f>
        <v>1</v>
      </c>
      <c r="J662" s="554"/>
      <c r="K662" s="378">
        <f>IF(VLOOKUP(D662,A!A$1:H$767,4,FALSE)="y",1,0)</f>
        <v>1</v>
      </c>
      <c r="L662" s="378">
        <f>IF(VLOOKUP(D662,A!A$1:H$767,5,FALSE)="y",1,0)</f>
        <v>1</v>
      </c>
      <c r="M662" s="706"/>
      <c r="N662" s="150">
        <f>VLOOKUP(D662,A!A$1:H$767,6,FALSE)</f>
        <v>0</v>
      </c>
      <c r="O662" s="266">
        <v>5</v>
      </c>
      <c r="P662" s="10" t="str">
        <f>VLOOKUP(D662,A!A$1:G$767,2,FALSE)</f>
        <v>y</v>
      </c>
      <c r="Q662" s="10" t="s">
        <v>891</v>
      </c>
      <c r="R662" s="10">
        <f t="shared" si="70"/>
        <v>0</v>
      </c>
      <c r="S662" s="10">
        <f>VLOOKUP(D662,A!A$1:AK$767,31,FALSE)</f>
        <v>0</v>
      </c>
      <c r="T662" s="10"/>
      <c r="U662" s="10"/>
      <c r="X662" s="10"/>
    </row>
    <row r="663" spans="1:24" ht="11.25" hidden="1" customHeight="1" x14ac:dyDescent="0.25">
      <c r="A663" s="1" t="str">
        <f>IF(R663=0,"",COUNTIF(A$23:A662,"&gt;0")+1)</f>
        <v/>
      </c>
      <c r="B663" s="261"/>
      <c r="C663" s="620" t="s">
        <v>888</v>
      </c>
      <c r="D663" s="1054" t="s">
        <v>1281</v>
      </c>
      <c r="E663" s="166"/>
      <c r="F663" s="166"/>
      <c r="G663" s="262" t="s">
        <v>1282</v>
      </c>
      <c r="H663" s="263" t="s">
        <v>1290</v>
      </c>
      <c r="I663" s="67">
        <f>VLOOKUP(D663,A!A$1:H$767,8,FALSE)</f>
        <v>1</v>
      </c>
      <c r="J663" s="265"/>
      <c r="K663" s="378">
        <f>IF(VLOOKUP(D663,A!A$1:H$767,4,FALSE)="y",1,0)</f>
        <v>0</v>
      </c>
      <c r="L663" s="378">
        <f>IF(VLOOKUP(D663,A!A$1:H$767,5,FALSE)="y",1,0)</f>
        <v>0</v>
      </c>
      <c r="M663" s="706"/>
      <c r="N663" s="150">
        <f>VLOOKUP(D663,A!A$1:H$767,6,FALSE)</f>
        <v>0</v>
      </c>
      <c r="O663" s="266">
        <v>5</v>
      </c>
      <c r="P663" s="10">
        <f>VLOOKUP(D663,A!A$1:G$767,2,FALSE)</f>
        <v>0</v>
      </c>
      <c r="Q663" s="10" t="s">
        <v>891</v>
      </c>
      <c r="R663" s="10">
        <f t="shared" si="70"/>
        <v>0</v>
      </c>
      <c r="S663" s="10"/>
      <c r="T663" s="10"/>
      <c r="U663" s="10"/>
      <c r="X663" s="10"/>
    </row>
    <row r="664" spans="1:24" ht="13.5" customHeight="1" x14ac:dyDescent="0.25">
      <c r="A664" s="1" t="str">
        <f>IF(R664=0,"",COUNTIF(A$23:A663,"&gt;0")+1)</f>
        <v/>
      </c>
      <c r="B664" s="621">
        <f>SUM(B662)</f>
        <v>0</v>
      </c>
      <c r="C664" s="620" t="s">
        <v>528</v>
      </c>
      <c r="D664" s="1055" t="s">
        <v>1483</v>
      </c>
      <c r="E664" s="166"/>
      <c r="F664" s="166"/>
      <c r="G664" s="262" t="s">
        <v>869</v>
      </c>
      <c r="H664" s="277" t="s">
        <v>1481</v>
      </c>
      <c r="I664" s="150">
        <v>1</v>
      </c>
      <c r="J664" s="265"/>
      <c r="K664" s="378">
        <f>IF(VLOOKUP(D664,A!A$1:H$767,4,FALSE)="y",1,0)</f>
        <v>1</v>
      </c>
      <c r="L664" s="378">
        <f>IF(VLOOKUP(D664,A!A$1:H$767,5,FALSE)="y",1,0)</f>
        <v>1</v>
      </c>
      <c r="M664" s="706"/>
      <c r="N664" s="150"/>
      <c r="O664" s="266">
        <v>5</v>
      </c>
      <c r="P664" s="10" t="str">
        <f>VLOOKUP(D664,A!A$1:G$767,2,FALSE)</f>
        <v>y</v>
      </c>
      <c r="Q664" s="10" t="s">
        <v>891</v>
      </c>
      <c r="R664" s="10">
        <f t="shared" ref="R664" si="71">B664</f>
        <v>0</v>
      </c>
      <c r="S664" s="10">
        <f>VLOOKUP(D664,A!A$1:AK$767,31,FALSE)</f>
        <v>0</v>
      </c>
      <c r="T664" s="10"/>
      <c r="U664" s="10"/>
      <c r="X664" s="10"/>
    </row>
    <row r="665" spans="1:24" ht="11.25" customHeight="1" thickBot="1" x14ac:dyDescent="0.3">
      <c r="A665" s="1" t="str">
        <f>IF(R665=0,"",COUNTIF(A$23:A664,"&gt;0")+1)</f>
        <v/>
      </c>
      <c r="B665" s="268"/>
      <c r="C665" s="1052" t="s">
        <v>888</v>
      </c>
      <c r="D665" s="1056" t="s">
        <v>894</v>
      </c>
      <c r="E665" s="538"/>
      <c r="F665" s="538"/>
      <c r="G665" s="539" t="s">
        <v>872</v>
      </c>
      <c r="H665" s="540" t="s">
        <v>1286</v>
      </c>
      <c r="I665" s="541">
        <f>VLOOKUP(D665,A!A$1:H$767,8,FALSE)</f>
        <v>2</v>
      </c>
      <c r="J665" s="270"/>
      <c r="K665" s="68">
        <f>IF(VLOOKUP(D665,A!A$1:H$767,4,FALSE)="y",1,0)</f>
        <v>1</v>
      </c>
      <c r="L665" s="68">
        <f>IF(VLOOKUP(D665,A!A$1:H$767,5,FALSE)="y",1,0)</f>
        <v>0</v>
      </c>
      <c r="M665" s="706"/>
      <c r="N665" s="150">
        <f>VLOOKUP(D665,A!A$1:H$767,6,FALSE)</f>
        <v>0</v>
      </c>
      <c r="O665" s="271">
        <v>5</v>
      </c>
      <c r="P665" s="10" t="str">
        <f>VLOOKUP(D665,A!A$1:G$767,2,FALSE)</f>
        <v>y</v>
      </c>
      <c r="Q665" s="10" t="s">
        <v>891</v>
      </c>
      <c r="R665" s="10">
        <f t="shared" si="70"/>
        <v>0</v>
      </c>
      <c r="S665" s="10"/>
      <c r="T665" s="10"/>
      <c r="U665" s="10"/>
      <c r="X665" s="10"/>
    </row>
    <row r="666" spans="1:24" ht="12" hidden="1" customHeight="1" x14ac:dyDescent="0.25">
      <c r="A666" s="1" t="str">
        <f>IF(R666=0,"",COUNTIF(A$23:A665,"&gt;0")+1)</f>
        <v/>
      </c>
      <c r="B666" s="261"/>
      <c r="C666" s="272" t="s">
        <v>888</v>
      </c>
      <c r="D666" s="267" t="s">
        <v>895</v>
      </c>
      <c r="E666" s="65"/>
      <c r="F666" s="65"/>
      <c r="G666" s="724" t="s">
        <v>874</v>
      </c>
      <c r="H666" s="263" t="s">
        <v>1285</v>
      </c>
      <c r="I666" s="67">
        <f>VLOOKUP(D666,A!A$1:H$767,8,FALSE)</f>
        <v>1</v>
      </c>
      <c r="J666" s="273" t="s">
        <v>63</v>
      </c>
      <c r="K666" s="68">
        <f>IF(VLOOKUP(D666,A!A$1:H$767,4,FALSE)="y",1,0)</f>
        <v>0</v>
      </c>
      <c r="L666" s="68">
        <f>IF(VLOOKUP(D666,A!A$1:H$767,5,FALSE)="y",1,0)</f>
        <v>0</v>
      </c>
      <c r="M666" s="149" t="str">
        <f>IF(VLOOKUP(D666,A!A$1:H$767,3,FALSE)="y","NEW","")</f>
        <v/>
      </c>
      <c r="N666" s="150">
        <f>VLOOKUP(D666,A!A$1:H$767,6,FALSE)</f>
        <v>0</v>
      </c>
      <c r="O666" s="274">
        <v>5</v>
      </c>
      <c r="P666" s="10">
        <f>VLOOKUP(D666,A!A$1:G$767,2,FALSE)</f>
        <v>0</v>
      </c>
      <c r="Q666" s="10" t="s">
        <v>891</v>
      </c>
      <c r="R666" s="10">
        <f>B666</f>
        <v>0</v>
      </c>
      <c r="S666" s="10"/>
      <c r="T666" s="10"/>
      <c r="U666" s="10"/>
      <c r="X666" s="10"/>
    </row>
    <row r="667" spans="1:24" ht="11.25" hidden="1" customHeight="1" x14ac:dyDescent="0.25">
      <c r="A667" s="1" t="str">
        <f>IF(R667=0,"",COUNTIF(A$23:A666,"&gt;0")+1)</f>
        <v/>
      </c>
      <c r="B667" s="275"/>
      <c r="C667" s="692" t="s">
        <v>888</v>
      </c>
      <c r="D667" s="276" t="s">
        <v>896</v>
      </c>
      <c r="E667" s="166"/>
      <c r="F667" s="166"/>
      <c r="G667" s="725" t="s">
        <v>897</v>
      </c>
      <c r="H667" s="277" t="s">
        <v>1373</v>
      </c>
      <c r="I667" s="67">
        <f>VLOOKUP(D667,A!A$1:H$767,8,FALSE)</f>
        <v>1</v>
      </c>
      <c r="J667" s="278"/>
      <c r="K667" s="68">
        <f>IF(VLOOKUP(D667,A!A$1:H$767,4,FALSE)="y",1,0)</f>
        <v>0</v>
      </c>
      <c r="L667" s="68">
        <f>IF(VLOOKUP(D667,A!A$1:H$767,5,FALSE)="y",1,0)</f>
        <v>0</v>
      </c>
      <c r="M667" s="706" t="s">
        <v>64</v>
      </c>
      <c r="N667" s="150">
        <f>VLOOKUP(D667,A!A$1:H$767,6,FALSE)</f>
        <v>0</v>
      </c>
      <c r="O667" s="694">
        <v>5</v>
      </c>
      <c r="P667" s="10">
        <f>VLOOKUP(D667,A!A$1:G$767,2,FALSE)</f>
        <v>0</v>
      </c>
      <c r="Q667" s="10" t="s">
        <v>891</v>
      </c>
      <c r="R667" s="10">
        <f t="shared" si="70"/>
        <v>0</v>
      </c>
      <c r="S667" s="10"/>
      <c r="T667" s="10"/>
      <c r="U667" s="10"/>
      <c r="X667" s="10"/>
    </row>
    <row r="668" spans="1:24" ht="2.25" hidden="1" customHeight="1" thickBot="1" x14ac:dyDescent="0.3">
      <c r="A668" s="1" t="str">
        <f>IF(R668=0,"",COUNTIF(A$23:A667,"&gt;0")+1)</f>
        <v/>
      </c>
      <c r="B668" s="279"/>
      <c r="C668" s="280" t="s">
        <v>888</v>
      </c>
      <c r="D668" s="281" t="s">
        <v>898</v>
      </c>
      <c r="E668" s="282"/>
      <c r="F668" s="282"/>
      <c r="G668" s="283" t="s">
        <v>876</v>
      </c>
      <c r="H668" s="284" t="s">
        <v>893</v>
      </c>
      <c r="I668" s="285">
        <f>VLOOKUP(D668,A!A$1:H$767,8,FALSE)</f>
        <v>1</v>
      </c>
      <c r="J668" s="286"/>
      <c r="K668" s="287">
        <f>IF(VLOOKUP(D668,A!A$1:H$767,4,FALSE)="y",1,0)</f>
        <v>0</v>
      </c>
      <c r="L668" s="287">
        <f>IF(VLOOKUP(D668,A!A$1:H$767,5,FALSE)="y",1,0)</f>
        <v>0</v>
      </c>
      <c r="M668" s="288" t="str">
        <f>IF(VLOOKUP(D668,A!A$1:H$767,3,FALSE)="y","NEW","")</f>
        <v/>
      </c>
      <c r="N668" s="289">
        <f>VLOOKUP(D668,A!A$1:H$767,6,FALSE)</f>
        <v>0</v>
      </c>
      <c r="O668" s="290">
        <v>5</v>
      </c>
      <c r="P668" s="10">
        <f>VLOOKUP(D668,A!A$1:G$767,2,FALSE)</f>
        <v>0</v>
      </c>
      <c r="Q668" s="10" t="s">
        <v>891</v>
      </c>
      <c r="R668" s="10">
        <f t="shared" si="70"/>
        <v>0</v>
      </c>
      <c r="S668" s="10"/>
      <c r="T668" s="10"/>
      <c r="U668" s="10"/>
      <c r="X668" s="10"/>
    </row>
    <row r="669" spans="1:24" x14ac:dyDescent="0.25">
      <c r="A669" s="1" t="str">
        <f>IF(R669=0,"",COUNTIF(A$23:A668,"&gt;0")+1)</f>
        <v/>
      </c>
      <c r="B669" s="291">
        <f>SUM(B661:B668)*25+B662*50</f>
        <v>0</v>
      </c>
      <c r="C669" s="292" t="s">
        <v>42</v>
      </c>
      <c r="D669" s="293" t="s">
        <v>899</v>
      </c>
      <c r="E669" s="294"/>
      <c r="F669" s="295"/>
      <c r="G669" s="296"/>
      <c r="H669" s="297"/>
      <c r="I669" s="298"/>
      <c r="J669" s="298"/>
      <c r="K669" s="299"/>
      <c r="L669" s="299"/>
      <c r="M669" s="299"/>
      <c r="N669" s="299"/>
      <c r="O669" s="299"/>
      <c r="P669" s="10"/>
      <c r="Q669" s="10" t="s">
        <v>891</v>
      </c>
      <c r="R669" s="10">
        <f>B669</f>
        <v>0</v>
      </c>
      <c r="S669" s="10"/>
      <c r="T669" s="10"/>
      <c r="U669" s="10"/>
      <c r="X669" s="10"/>
    </row>
    <row r="670" spans="1:24" ht="6.75" customHeight="1" thickBot="1" x14ac:dyDescent="0.3">
      <c r="A670" s="1" t="str">
        <f>IF(R670=0,"",COUNTIF(A$23:A669,"&gt;0")+1)</f>
        <v/>
      </c>
      <c r="P670" s="10"/>
      <c r="Q670" s="10"/>
      <c r="R670" s="10"/>
      <c r="S670" s="10"/>
      <c r="T670" s="10"/>
      <c r="U670" s="10"/>
      <c r="X670" s="10"/>
    </row>
    <row r="671" spans="1:24" ht="15.75" hidden="1" customHeight="1" x14ac:dyDescent="0.25">
      <c r="A671" s="1" t="str">
        <f>IF(R671=0,"",COUNTIF(A$23:A670,"&gt;0")+1)</f>
        <v/>
      </c>
      <c r="B671" s="1245" t="s">
        <v>41</v>
      </c>
      <c r="C671" s="1245"/>
      <c r="D671" s="1246" t="s">
        <v>900</v>
      </c>
      <c r="E671" s="1247"/>
      <c r="F671" s="1247"/>
      <c r="G671" s="1247"/>
      <c r="H671" s="1247"/>
      <c r="I671" s="1200" t="s">
        <v>901</v>
      </c>
      <c r="J671" s="1200"/>
      <c r="K671" s="1200"/>
      <c r="L671" s="1200"/>
      <c r="M671" s="1200"/>
      <c r="N671" s="300"/>
      <c r="O671" s="301"/>
      <c r="P671" s="10"/>
      <c r="Q671" s="10"/>
      <c r="R671" s="10"/>
      <c r="S671" s="10"/>
      <c r="T671" s="10"/>
      <c r="U671" s="10"/>
      <c r="X671" s="10"/>
    </row>
    <row r="672" spans="1:24" ht="9.75" hidden="1" customHeight="1" x14ac:dyDescent="0.25">
      <c r="A672" s="1" t="str">
        <f>IF(R672=0,"",COUNTIF(A$23:A671,"&gt;0")+1)</f>
        <v/>
      </c>
      <c r="B672" s="1250" t="s">
        <v>902</v>
      </c>
      <c r="C672" s="1250"/>
      <c r="D672" s="1248"/>
      <c r="E672" s="1249"/>
      <c r="F672" s="1249"/>
      <c r="G672" s="1249"/>
      <c r="H672" s="1249"/>
      <c r="I672" s="1201"/>
      <c r="J672" s="1201"/>
      <c r="K672" s="1201"/>
      <c r="L672" s="1201"/>
      <c r="M672" s="1201"/>
      <c r="N672" s="215"/>
      <c r="O672" s="302" t="s">
        <v>48</v>
      </c>
      <c r="P672" s="10"/>
      <c r="Q672" s="10"/>
      <c r="R672" s="10"/>
      <c r="S672" s="10"/>
      <c r="T672" s="10"/>
      <c r="U672" s="10"/>
      <c r="X672" s="10"/>
    </row>
    <row r="673" spans="1:24" ht="10.5" hidden="1" customHeight="1" thickBot="1" x14ac:dyDescent="0.3">
      <c r="A673" s="1" t="str">
        <f>IF(R673=0,"",COUNTIF(A$23:A672,"&gt;0")+1)</f>
        <v/>
      </c>
      <c r="B673" s="303" t="s">
        <v>862</v>
      </c>
      <c r="C673" s="304"/>
      <c r="D673" s="305"/>
      <c r="E673" s="304"/>
      <c r="F673" s="304"/>
      <c r="G673" s="306" t="s">
        <v>903</v>
      </c>
      <c r="H673" s="1196" t="s">
        <v>904</v>
      </c>
      <c r="I673" s="1197"/>
      <c r="J673" s="644"/>
      <c r="K673" s="644"/>
      <c r="L673" s="644"/>
      <c r="M673" s="644"/>
      <c r="N673" s="644"/>
      <c r="O673" s="307"/>
      <c r="P673" s="10"/>
      <c r="Q673" s="10"/>
      <c r="R673" s="10"/>
      <c r="S673" s="10"/>
      <c r="T673" s="10"/>
      <c r="U673" s="10"/>
      <c r="X673" s="10"/>
    </row>
    <row r="674" spans="1:24" ht="11.25" hidden="1" customHeight="1" x14ac:dyDescent="0.25">
      <c r="A674" s="1" t="str">
        <f>IF(R674=0,"",COUNTIF(A$23:A673,"&gt;0")+1)</f>
        <v/>
      </c>
      <c r="B674" s="308"/>
      <c r="C674" s="164" t="s">
        <v>905</v>
      </c>
      <c r="D674" s="165" t="s">
        <v>906</v>
      </c>
      <c r="E674" s="166"/>
      <c r="F674" s="309"/>
      <c r="G674" s="310">
        <v>3.25</v>
      </c>
      <c r="H674" s="645" t="s">
        <v>59</v>
      </c>
      <c r="I674" s="150"/>
      <c r="J674" s="646">
        <v>5021353015195</v>
      </c>
      <c r="K674" s="646"/>
      <c r="L674" s="646"/>
      <c r="M674" s="646"/>
      <c r="N674" s="646"/>
      <c r="O674" s="311" t="s">
        <v>65</v>
      </c>
      <c r="P674" s="10">
        <f>VLOOKUP(D674,A!A$1:G$767,2,FALSE)</f>
        <v>0</v>
      </c>
      <c r="Q674" s="10" t="s">
        <v>907</v>
      </c>
      <c r="R674" s="10">
        <f t="shared" ref="R674:R693" si="72">B674</f>
        <v>0</v>
      </c>
      <c r="S674" s="10"/>
      <c r="T674" s="10">
        <v>0.125</v>
      </c>
      <c r="U674" s="10">
        <f t="shared" ref="U674:U692" si="73">T674*B674</f>
        <v>0</v>
      </c>
      <c r="X674" s="10"/>
    </row>
    <row r="675" spans="1:24" ht="11.25" hidden="1" customHeight="1" x14ac:dyDescent="0.25">
      <c r="A675" s="1" t="str">
        <f>IF(R675=0,"",COUNTIF(A$23:A674,"&gt;0")+1)</f>
        <v/>
      </c>
      <c r="B675" s="308"/>
      <c r="C675" s="164" t="s">
        <v>905</v>
      </c>
      <c r="D675" s="165" t="s">
        <v>908</v>
      </c>
      <c r="E675" s="166"/>
      <c r="F675" s="309"/>
      <c r="G675" s="310">
        <v>3.25</v>
      </c>
      <c r="H675" s="645" t="s">
        <v>552</v>
      </c>
      <c r="I675" s="150"/>
      <c r="J675" s="647">
        <v>5021353015195</v>
      </c>
      <c r="K675" s="647"/>
      <c r="L675" s="647"/>
      <c r="M675" s="647"/>
      <c r="N675" s="647"/>
      <c r="O675" s="311" t="s">
        <v>65</v>
      </c>
      <c r="P675" s="10">
        <f>VLOOKUP(D675,A!A$1:G$767,2,FALSE)</f>
        <v>0</v>
      </c>
      <c r="Q675" s="10" t="s">
        <v>907</v>
      </c>
      <c r="R675" s="10">
        <f t="shared" si="72"/>
        <v>0</v>
      </c>
      <c r="S675" s="10"/>
      <c r="T675" s="10">
        <v>0.125</v>
      </c>
      <c r="U675" s="10">
        <f t="shared" si="73"/>
        <v>0</v>
      </c>
      <c r="X675" s="10"/>
    </row>
    <row r="676" spans="1:24" ht="11.25" hidden="1" customHeight="1" x14ac:dyDescent="0.25">
      <c r="A676" s="1" t="str">
        <f>IF(R676=0,"",COUNTIF(A$23:A675,"&gt;0")+1)</f>
        <v/>
      </c>
      <c r="B676" s="308"/>
      <c r="C676" s="164" t="s">
        <v>905</v>
      </c>
      <c r="D676" s="165" t="s">
        <v>909</v>
      </c>
      <c r="E676" s="166"/>
      <c r="F676" s="309"/>
      <c r="G676" s="310">
        <v>3.25</v>
      </c>
      <c r="H676" s="645" t="s">
        <v>554</v>
      </c>
      <c r="I676" s="150"/>
      <c r="J676" s="647">
        <v>5021353015196</v>
      </c>
      <c r="K676" s="647"/>
      <c r="L676" s="647"/>
      <c r="M676" s="647"/>
      <c r="N676" s="647"/>
      <c r="O676" s="311" t="s">
        <v>65</v>
      </c>
      <c r="P676" s="10">
        <f>VLOOKUP(D676,A!A$1:G$767,2,FALSE)</f>
        <v>0</v>
      </c>
      <c r="Q676" s="10" t="s">
        <v>907</v>
      </c>
      <c r="R676" s="10">
        <f t="shared" si="72"/>
        <v>0</v>
      </c>
      <c r="S676" s="10"/>
      <c r="T676" s="10">
        <v>0.125</v>
      </c>
      <c r="U676" s="10">
        <f t="shared" si="73"/>
        <v>0</v>
      </c>
      <c r="X676" s="10"/>
    </row>
    <row r="677" spans="1:24" ht="11.25" hidden="1" customHeight="1" x14ac:dyDescent="0.25">
      <c r="A677" s="1" t="str">
        <f>IF(R677=0,"",COUNTIF(A$23:A676,"&gt;0")+1)</f>
        <v/>
      </c>
      <c r="B677" s="308"/>
      <c r="C677" s="164" t="s">
        <v>905</v>
      </c>
      <c r="D677" s="165" t="s">
        <v>910</v>
      </c>
      <c r="E677" s="166"/>
      <c r="F677" s="309"/>
      <c r="G677" s="310">
        <v>3.25</v>
      </c>
      <c r="H677" s="645" t="s">
        <v>578</v>
      </c>
      <c r="I677" s="150"/>
      <c r="J677" s="647">
        <v>5021353015195</v>
      </c>
      <c r="K677" s="647"/>
      <c r="L677" s="647"/>
      <c r="M677" s="647"/>
      <c r="N677" s="647"/>
      <c r="O677" s="311" t="s">
        <v>65</v>
      </c>
      <c r="P677" s="10">
        <f>VLOOKUP(D677,A!A$1:G$767,2,FALSE)</f>
        <v>0</v>
      </c>
      <c r="Q677" s="10" t="s">
        <v>907</v>
      </c>
      <c r="R677" s="10">
        <f t="shared" si="72"/>
        <v>0</v>
      </c>
      <c r="S677" s="10"/>
      <c r="T677" s="10">
        <v>0.125</v>
      </c>
      <c r="U677" s="10">
        <f t="shared" si="73"/>
        <v>0</v>
      </c>
      <c r="X677" s="10"/>
    </row>
    <row r="678" spans="1:24" ht="11.25" hidden="1" customHeight="1" x14ac:dyDescent="0.25">
      <c r="A678" s="1" t="str">
        <f>IF(R678=0,"",COUNTIF(A$23:A677,"&gt;0")+1)</f>
        <v/>
      </c>
      <c r="B678" s="308"/>
      <c r="C678" s="164" t="s">
        <v>905</v>
      </c>
      <c r="D678" s="165" t="s">
        <v>911</v>
      </c>
      <c r="E678" s="166"/>
      <c r="F678" s="309"/>
      <c r="G678" s="310">
        <v>5.66</v>
      </c>
      <c r="H678" s="645" t="s">
        <v>912</v>
      </c>
      <c r="I678" s="150"/>
      <c r="J678" s="647"/>
      <c r="K678" s="647"/>
      <c r="L678" s="647"/>
      <c r="M678" s="647"/>
      <c r="N678" s="647"/>
      <c r="O678" s="311">
        <v>4</v>
      </c>
      <c r="P678" s="10">
        <f>VLOOKUP(D678,A!A$1:G$767,2,FALSE)</f>
        <v>0</v>
      </c>
      <c r="Q678" s="10" t="s">
        <v>907</v>
      </c>
      <c r="R678" s="10">
        <f t="shared" si="72"/>
        <v>0</v>
      </c>
      <c r="S678" s="10"/>
      <c r="T678" s="10">
        <v>0.125</v>
      </c>
      <c r="U678" s="10">
        <f t="shared" si="73"/>
        <v>0</v>
      </c>
      <c r="X678" s="10"/>
    </row>
    <row r="679" spans="1:24" ht="11.25" hidden="1" customHeight="1" x14ac:dyDescent="0.25">
      <c r="A679" s="1" t="str">
        <f>IF(R679=0,"",COUNTIF(A$23:A678,"&gt;0")+1)</f>
        <v/>
      </c>
      <c r="B679" s="308"/>
      <c r="C679" s="164" t="s">
        <v>905</v>
      </c>
      <c r="D679" s="165" t="s">
        <v>913</v>
      </c>
      <c r="E679" s="166"/>
      <c r="F679" s="309"/>
      <c r="G679" s="310">
        <v>5.66</v>
      </c>
      <c r="H679" s="645" t="s">
        <v>914</v>
      </c>
      <c r="I679" s="150"/>
      <c r="J679" s="647"/>
      <c r="K679" s="647"/>
      <c r="L679" s="647"/>
      <c r="M679" s="647" t="s">
        <v>64</v>
      </c>
      <c r="N679" s="647"/>
      <c r="O679" s="311">
        <v>4</v>
      </c>
      <c r="P679" s="10">
        <f>VLOOKUP(D679,A!A$1:G$767,2,FALSE)</f>
        <v>0</v>
      </c>
      <c r="Q679" s="10" t="s">
        <v>907</v>
      </c>
      <c r="R679" s="10">
        <f t="shared" si="72"/>
        <v>0</v>
      </c>
      <c r="S679" s="10"/>
      <c r="T679" s="10">
        <v>0.125</v>
      </c>
      <c r="U679" s="10">
        <f t="shared" si="73"/>
        <v>0</v>
      </c>
      <c r="X679" s="10"/>
    </row>
    <row r="680" spans="1:24" ht="11.25" hidden="1" customHeight="1" x14ac:dyDescent="0.25">
      <c r="A680" s="1" t="str">
        <f>IF(R680=0,"",COUNTIF(A$23:A679,"&gt;0")+1)</f>
        <v/>
      </c>
      <c r="B680" s="308"/>
      <c r="C680" s="164" t="s">
        <v>905</v>
      </c>
      <c r="D680" s="165" t="s">
        <v>915</v>
      </c>
      <c r="E680" s="166"/>
      <c r="F680" s="309"/>
      <c r="G680" s="310">
        <v>5.66</v>
      </c>
      <c r="H680" s="645" t="s">
        <v>916</v>
      </c>
      <c r="I680" s="150"/>
      <c r="J680" s="647"/>
      <c r="K680" s="647"/>
      <c r="L680" s="647"/>
      <c r="M680" s="647"/>
      <c r="N680" s="647"/>
      <c r="O680" s="311">
        <v>4</v>
      </c>
      <c r="P680" s="10">
        <f>VLOOKUP(D680,A!A$1:G$767,2,FALSE)</f>
        <v>0</v>
      </c>
      <c r="Q680" s="10" t="s">
        <v>907</v>
      </c>
      <c r="R680" s="10">
        <f t="shared" si="72"/>
        <v>0</v>
      </c>
      <c r="S680" s="10"/>
      <c r="T680" s="10">
        <v>0.125</v>
      </c>
      <c r="U680" s="10">
        <f t="shared" si="73"/>
        <v>0</v>
      </c>
      <c r="X680" s="10"/>
    </row>
    <row r="681" spans="1:24" ht="11.25" hidden="1" customHeight="1" x14ac:dyDescent="0.25">
      <c r="A681" s="1" t="str">
        <f>IF(R681=0,"",COUNTIF(A$23:A680,"&gt;0")+1)</f>
        <v/>
      </c>
      <c r="B681" s="308"/>
      <c r="C681" s="164" t="s">
        <v>905</v>
      </c>
      <c r="D681" s="165" t="s">
        <v>917</v>
      </c>
      <c r="E681" s="166"/>
      <c r="F681" s="309"/>
      <c r="G681" s="310">
        <v>5.66</v>
      </c>
      <c r="H681" s="645" t="s">
        <v>918</v>
      </c>
      <c r="I681" s="150"/>
      <c r="J681" s="647"/>
      <c r="K681" s="647"/>
      <c r="L681" s="647"/>
      <c r="M681" s="647"/>
      <c r="N681" s="647"/>
      <c r="O681" s="311">
        <v>4</v>
      </c>
      <c r="P681" s="10">
        <f>VLOOKUP(D681,A!A$1:G$767,2,FALSE)</f>
        <v>0</v>
      </c>
      <c r="Q681" s="10" t="s">
        <v>907</v>
      </c>
      <c r="R681" s="10">
        <f t="shared" si="72"/>
        <v>0</v>
      </c>
      <c r="S681" s="10"/>
      <c r="T681" s="10">
        <v>0.125</v>
      </c>
      <c r="U681" s="10">
        <f t="shared" si="73"/>
        <v>0</v>
      </c>
      <c r="X681" s="10"/>
    </row>
    <row r="682" spans="1:24" ht="11.25" hidden="1" customHeight="1" x14ac:dyDescent="0.25">
      <c r="A682" s="1" t="str">
        <f>IF(R682=0,"",COUNTIF(A$23:A681,"&gt;0")+1)</f>
        <v/>
      </c>
      <c r="B682" s="308"/>
      <c r="C682" s="164" t="s">
        <v>905</v>
      </c>
      <c r="D682" s="165" t="s">
        <v>919</v>
      </c>
      <c r="E682" s="166"/>
      <c r="F682" s="309"/>
      <c r="G682" s="310">
        <v>7.3</v>
      </c>
      <c r="H682" s="645" t="s">
        <v>920</v>
      </c>
      <c r="I682" s="150"/>
      <c r="J682" s="647"/>
      <c r="K682" s="647"/>
      <c r="L682" s="647"/>
      <c r="M682" s="647"/>
      <c r="N682" s="647"/>
      <c r="O682" s="311">
        <v>4</v>
      </c>
      <c r="P682" s="10">
        <f>VLOOKUP(D682,A!A$1:G$767,2,FALSE)</f>
        <v>0</v>
      </c>
      <c r="Q682" s="10" t="s">
        <v>907</v>
      </c>
      <c r="R682" s="10">
        <f t="shared" si="72"/>
        <v>0</v>
      </c>
      <c r="S682" s="10"/>
      <c r="T682" s="10">
        <v>0.125</v>
      </c>
      <c r="U682" s="10">
        <f t="shared" si="73"/>
        <v>0</v>
      </c>
      <c r="X682" s="10"/>
    </row>
    <row r="683" spans="1:24" ht="11.25" hidden="1" customHeight="1" x14ac:dyDescent="0.25">
      <c r="A683" s="1" t="str">
        <f>IF(R683=0,"",COUNTIF(A$23:A682,"&gt;0")+1)</f>
        <v/>
      </c>
      <c r="B683" s="312"/>
      <c r="C683" s="164" t="s">
        <v>905</v>
      </c>
      <c r="D683" s="64" t="s">
        <v>921</v>
      </c>
      <c r="E683" s="65"/>
      <c r="F683" s="229"/>
      <c r="G683" s="310">
        <v>7.3</v>
      </c>
      <c r="H683" s="90" t="s">
        <v>922</v>
      </c>
      <c r="I683" s="67"/>
      <c r="J683" s="647"/>
      <c r="K683" s="647"/>
      <c r="L683" s="647"/>
      <c r="M683" s="647"/>
      <c r="N683" s="647"/>
      <c r="O683" s="313">
        <v>4</v>
      </c>
      <c r="P683" s="10">
        <f>VLOOKUP(D683,A!A$1:G$767,2,FALSE)</f>
        <v>0</v>
      </c>
      <c r="Q683" s="10" t="s">
        <v>907</v>
      </c>
      <c r="R683" s="10">
        <f t="shared" si="72"/>
        <v>0</v>
      </c>
      <c r="S683" s="10"/>
      <c r="T683" s="10">
        <v>0.125</v>
      </c>
      <c r="U683" s="10">
        <f t="shared" si="73"/>
        <v>0</v>
      </c>
      <c r="X683" s="10"/>
    </row>
    <row r="684" spans="1:24" ht="11.25" hidden="1" customHeight="1" x14ac:dyDescent="0.25">
      <c r="A684" s="1" t="str">
        <f>IF(R684=0,"",COUNTIF(A$23:A683,"&gt;0")+1)</f>
        <v/>
      </c>
      <c r="B684" s="312"/>
      <c r="C684" s="164" t="s">
        <v>905</v>
      </c>
      <c r="D684" s="64" t="s">
        <v>923</v>
      </c>
      <c r="E684" s="65"/>
      <c r="F684" s="229"/>
      <c r="G684" s="310">
        <v>7.3</v>
      </c>
      <c r="H684" s="90" t="s">
        <v>924</v>
      </c>
      <c r="I684" s="67"/>
      <c r="J684" s="647"/>
      <c r="K684" s="647"/>
      <c r="L684" s="647"/>
      <c r="M684" s="647"/>
      <c r="N684" s="647"/>
      <c r="O684" s="313">
        <v>4</v>
      </c>
      <c r="P684" s="10">
        <f>VLOOKUP(D684,A!A$1:G$767,2,FALSE)</f>
        <v>0</v>
      </c>
      <c r="Q684" s="10" t="s">
        <v>907</v>
      </c>
      <c r="R684" s="10">
        <f t="shared" si="72"/>
        <v>0</v>
      </c>
      <c r="S684" s="10"/>
      <c r="T684" s="10">
        <v>0.125</v>
      </c>
      <c r="U684" s="10">
        <f t="shared" si="73"/>
        <v>0</v>
      </c>
      <c r="X684" s="10"/>
    </row>
    <row r="685" spans="1:24" ht="11.25" hidden="1" customHeight="1" x14ac:dyDescent="0.25">
      <c r="A685" s="1" t="str">
        <f>IF(R685=0,"",COUNTIF(A$23:A684,"&gt;0")+1)</f>
        <v/>
      </c>
      <c r="B685" s="312"/>
      <c r="C685" s="164" t="s">
        <v>905</v>
      </c>
      <c r="D685" s="64" t="s">
        <v>925</v>
      </c>
      <c r="E685" s="65"/>
      <c r="F685" s="229"/>
      <c r="G685" s="310">
        <v>7.3</v>
      </c>
      <c r="H685" s="90" t="s">
        <v>926</v>
      </c>
      <c r="I685" s="67"/>
      <c r="J685" s="647"/>
      <c r="K685" s="647"/>
      <c r="L685" s="647"/>
      <c r="M685" s="647"/>
      <c r="N685" s="647"/>
      <c r="O685" s="313">
        <v>4</v>
      </c>
      <c r="P685" s="10">
        <f>VLOOKUP(D685,A!A$1:G$767,2,FALSE)</f>
        <v>0</v>
      </c>
      <c r="Q685" s="10" t="s">
        <v>907</v>
      </c>
      <c r="R685" s="10">
        <f t="shared" si="72"/>
        <v>0</v>
      </c>
      <c r="S685" s="10"/>
      <c r="T685" s="10">
        <v>0.125</v>
      </c>
      <c r="U685" s="10">
        <f>T685*B685</f>
        <v>0</v>
      </c>
      <c r="X685" s="10"/>
    </row>
    <row r="686" spans="1:24" ht="11.25" hidden="1" customHeight="1" x14ac:dyDescent="0.25">
      <c r="A686" s="1" t="str">
        <f>IF(R686=0,"",COUNTIF(A$23:A685,"&gt;0")+1)</f>
        <v/>
      </c>
      <c r="B686" s="314"/>
      <c r="C686" s="164" t="s">
        <v>905</v>
      </c>
      <c r="D686" s="64" t="s">
        <v>927</v>
      </c>
      <c r="E686" s="65"/>
      <c r="F686" s="229"/>
      <c r="G686" s="310">
        <v>7.3</v>
      </c>
      <c r="H686" s="90" t="s">
        <v>928</v>
      </c>
      <c r="I686" s="67"/>
      <c r="J686" s="647"/>
      <c r="K686" s="647"/>
      <c r="L686" s="647"/>
      <c r="M686" s="647"/>
      <c r="N686" s="647"/>
      <c r="O686" s="313">
        <v>4</v>
      </c>
      <c r="P686" s="10">
        <f>VLOOKUP(D686,A!A$1:G$767,2,FALSE)</f>
        <v>0</v>
      </c>
      <c r="Q686" s="10" t="s">
        <v>907</v>
      </c>
      <c r="R686" s="10">
        <f t="shared" si="72"/>
        <v>0</v>
      </c>
      <c r="S686" s="10"/>
      <c r="T686" s="10">
        <v>0.125</v>
      </c>
      <c r="U686" s="10">
        <f t="shared" si="73"/>
        <v>0</v>
      </c>
      <c r="X686" s="10"/>
    </row>
    <row r="687" spans="1:24" ht="11.25" hidden="1" customHeight="1" x14ac:dyDescent="0.25">
      <c r="A687" s="1" t="str">
        <f>IF(R687=0,"",COUNTIF(A$23:A686,"&gt;0")+1)</f>
        <v/>
      </c>
      <c r="B687" s="314"/>
      <c r="C687" s="654" t="s">
        <v>905</v>
      </c>
      <c r="D687" s="64" t="s">
        <v>1344</v>
      </c>
      <c r="E687" s="65"/>
      <c r="F687" s="229"/>
      <c r="G687" s="310">
        <v>7.3</v>
      </c>
      <c r="H687" s="90" t="s">
        <v>928</v>
      </c>
      <c r="I687" s="67"/>
      <c r="J687" s="647"/>
      <c r="K687" s="647"/>
      <c r="L687" s="647"/>
      <c r="M687" s="647"/>
      <c r="N687" s="647"/>
      <c r="O687" s="313">
        <v>4</v>
      </c>
      <c r="P687" s="10">
        <f>VLOOKUP(D687,A!A$1:G$767,2,FALSE)</f>
        <v>0</v>
      </c>
      <c r="Q687" s="10" t="s">
        <v>907</v>
      </c>
      <c r="R687" s="10">
        <f>B687</f>
        <v>0</v>
      </c>
      <c r="S687" s="10"/>
      <c r="T687" s="10">
        <v>0.125</v>
      </c>
      <c r="U687" s="10">
        <f>T687*B687</f>
        <v>0</v>
      </c>
      <c r="X687" s="10"/>
    </row>
    <row r="688" spans="1:24" ht="11.25" hidden="1" customHeight="1" x14ac:dyDescent="0.25">
      <c r="A688" s="1" t="str">
        <f>IF(R688=0,"",COUNTIF(A$23:A687,"&gt;0")+1)</f>
        <v/>
      </c>
      <c r="B688" s="314"/>
      <c r="C688" s="164" t="s">
        <v>905</v>
      </c>
      <c r="D688" s="64" t="s">
        <v>929</v>
      </c>
      <c r="E688" s="65"/>
      <c r="F688" s="229"/>
      <c r="G688" s="315">
        <v>8.99</v>
      </c>
      <c r="H688" s="66" t="s">
        <v>930</v>
      </c>
      <c r="I688" s="218"/>
      <c r="J688" s="546"/>
      <c r="K688" s="546"/>
      <c r="L688" s="546"/>
      <c r="M688" s="546"/>
      <c r="N688" s="546"/>
      <c r="O688" s="313">
        <v>4</v>
      </c>
      <c r="P688" s="10">
        <f>VLOOKUP(D688,A!A$1:G$767,2,FALSE)</f>
        <v>0</v>
      </c>
      <c r="Q688" s="10" t="s">
        <v>907</v>
      </c>
      <c r="R688" s="10">
        <f t="shared" si="72"/>
        <v>0</v>
      </c>
      <c r="S688" s="10"/>
      <c r="T688" s="10">
        <v>0.125</v>
      </c>
      <c r="U688" s="10">
        <f t="shared" si="73"/>
        <v>0</v>
      </c>
      <c r="X688" s="10"/>
    </row>
    <row r="689" spans="1:24" ht="11.25" hidden="1" customHeight="1" x14ac:dyDescent="0.25">
      <c r="A689" s="1" t="str">
        <f>IF(R689=0,"",COUNTIF(A$23:A688,"&gt;0")+1)</f>
        <v/>
      </c>
      <c r="B689" s="314"/>
      <c r="C689" s="164" t="s">
        <v>905</v>
      </c>
      <c r="D689" s="64" t="s">
        <v>931</v>
      </c>
      <c r="E689" s="65"/>
      <c r="F689" s="229"/>
      <c r="G689" s="315">
        <v>8.99</v>
      </c>
      <c r="H689" s="66" t="s">
        <v>932</v>
      </c>
      <c r="I689" s="218"/>
      <c r="J689" s="655"/>
      <c r="K689" s="655"/>
      <c r="L689" s="655"/>
      <c r="M689" s="546"/>
      <c r="N689" s="546"/>
      <c r="O689" s="313">
        <v>4</v>
      </c>
      <c r="P689" s="10">
        <f>VLOOKUP(D689,A!A$1:G$767,2,FALSE)</f>
        <v>0</v>
      </c>
      <c r="Q689" s="10" t="s">
        <v>907</v>
      </c>
      <c r="R689" s="10">
        <f t="shared" si="72"/>
        <v>0</v>
      </c>
      <c r="S689" s="10"/>
      <c r="T689" s="10">
        <v>0.125</v>
      </c>
      <c r="U689" s="10">
        <f t="shared" si="73"/>
        <v>0</v>
      </c>
      <c r="X689" s="10"/>
    </row>
    <row r="690" spans="1:24" ht="11.25" hidden="1" customHeight="1" x14ac:dyDescent="0.25">
      <c r="A690" s="1" t="str">
        <f>IF(R690=0,"",COUNTIF(A$23:A689,"&gt;0")+1)</f>
        <v/>
      </c>
      <c r="B690" s="314"/>
      <c r="C690" s="164" t="s">
        <v>905</v>
      </c>
      <c r="D690" s="64" t="s">
        <v>933</v>
      </c>
      <c r="E690" s="65"/>
      <c r="F690" s="229"/>
      <c r="G690" s="315">
        <v>9.44</v>
      </c>
      <c r="H690" s="66" t="s">
        <v>934</v>
      </c>
      <c r="I690" s="67"/>
      <c r="J690" s="657"/>
      <c r="K690" s="657"/>
      <c r="L690" s="657"/>
      <c r="M690" s="647"/>
      <c r="N690" s="647"/>
      <c r="O690" s="313">
        <v>4</v>
      </c>
      <c r="P690" s="10">
        <f>VLOOKUP(D690,A!A$1:G$767,2,FALSE)</f>
        <v>0</v>
      </c>
      <c r="Q690" s="10" t="s">
        <v>907</v>
      </c>
      <c r="R690" s="10">
        <f t="shared" si="72"/>
        <v>0</v>
      </c>
      <c r="S690" s="10"/>
      <c r="T690" s="10">
        <v>0.125</v>
      </c>
      <c r="U690" s="10">
        <f t="shared" si="73"/>
        <v>0</v>
      </c>
      <c r="X690" s="10"/>
    </row>
    <row r="691" spans="1:24" ht="11.25" hidden="1" customHeight="1" x14ac:dyDescent="0.25">
      <c r="A691" s="1" t="str">
        <f>IF(R691=0,"",COUNTIF(A$23:A690,"&gt;0")+1)</f>
        <v/>
      </c>
      <c r="B691" s="314"/>
      <c r="C691" s="164" t="s">
        <v>905</v>
      </c>
      <c r="D691" s="64" t="s">
        <v>935</v>
      </c>
      <c r="E691" s="65"/>
      <c r="F691" s="229"/>
      <c r="G691" s="315">
        <v>8.99</v>
      </c>
      <c r="H691" s="66" t="s">
        <v>936</v>
      </c>
      <c r="I691" s="218"/>
      <c r="J691" s="656">
        <v>5021353015188</v>
      </c>
      <c r="K691" s="656"/>
      <c r="L691" s="656"/>
      <c r="M691" s="546"/>
      <c r="N691" s="546"/>
      <c r="O691" s="313">
        <v>4</v>
      </c>
      <c r="P691" s="10">
        <f>VLOOKUP(D691,A!A$1:G$767,2,FALSE)</f>
        <v>0</v>
      </c>
      <c r="Q691" s="10" t="s">
        <v>907</v>
      </c>
      <c r="R691" s="10">
        <f t="shared" si="72"/>
        <v>0</v>
      </c>
      <c r="S691" s="10"/>
      <c r="T691" s="10">
        <v>0.125</v>
      </c>
      <c r="U691" s="10">
        <f t="shared" si="73"/>
        <v>0</v>
      </c>
      <c r="X691" s="10"/>
    </row>
    <row r="692" spans="1:24" ht="11.25" hidden="1" customHeight="1" thickBot="1" x14ac:dyDescent="0.3">
      <c r="A692" s="1" t="str">
        <f>IF(R692=0,"",COUNTIF(A$23:A691,"&gt;0")+1)</f>
        <v/>
      </c>
      <c r="B692" s="316"/>
      <c r="C692" s="317" t="s">
        <v>905</v>
      </c>
      <c r="D692" s="318" t="s">
        <v>937</v>
      </c>
      <c r="E692" s="319"/>
      <c r="F692" s="320"/>
      <c r="G692" s="321">
        <v>8.99</v>
      </c>
      <c r="H692" s="322" t="s">
        <v>938</v>
      </c>
      <c r="I692" s="323"/>
      <c r="J692" s="547">
        <v>5021353015188</v>
      </c>
      <c r="K692" s="547"/>
      <c r="L692" s="547"/>
      <c r="M692" s="547"/>
      <c r="N692" s="547"/>
      <c r="O692" s="324">
        <v>4</v>
      </c>
      <c r="P692" s="10">
        <f>VLOOKUP(D692,A!A$1:G$767,2,FALSE)</f>
        <v>0</v>
      </c>
      <c r="Q692" s="10" t="s">
        <v>907</v>
      </c>
      <c r="R692" s="10">
        <f t="shared" si="72"/>
        <v>0</v>
      </c>
      <c r="S692" s="10"/>
      <c r="T692" s="10">
        <v>0.125</v>
      </c>
      <c r="U692" s="10">
        <f t="shared" si="73"/>
        <v>0</v>
      </c>
      <c r="X692" s="10"/>
    </row>
    <row r="693" spans="1:24" hidden="1" x14ac:dyDescent="0.25">
      <c r="A693" s="1" t="str">
        <f>IF(R693=0,"",COUNTIF(A$23:A692,"&gt;0")+1)</f>
        <v/>
      </c>
      <c r="B693" s="256">
        <f>SUM(B674:B692)</f>
        <v>0</v>
      </c>
      <c r="C693" s="256"/>
      <c r="D693" s="325" t="s">
        <v>939</v>
      </c>
      <c r="E693" s="300"/>
      <c r="F693" s="300"/>
      <c r="G693" s="300"/>
      <c r="H693" s="300"/>
      <c r="I693" s="300"/>
      <c r="J693" s="300"/>
      <c r="K693" s="300"/>
      <c r="L693" s="300"/>
      <c r="M693" s="326"/>
      <c r="N693" s="300"/>
      <c r="O693" s="327"/>
      <c r="P693" s="10"/>
      <c r="Q693" s="10" t="s">
        <v>907</v>
      </c>
      <c r="R693" s="10">
        <f t="shared" si="72"/>
        <v>0</v>
      </c>
      <c r="S693" s="10"/>
      <c r="T693" s="10"/>
      <c r="U693" s="10"/>
      <c r="X693" s="10"/>
    </row>
    <row r="694" spans="1:24" ht="8.25" hidden="1" customHeight="1" thickBot="1" x14ac:dyDescent="0.3">
      <c r="A694" s="1" t="str">
        <f>IF(R694=0,"",COUNTIF(A$23:A693,"&gt;0")+1)</f>
        <v/>
      </c>
      <c r="P694" s="10"/>
      <c r="Q694" s="10"/>
      <c r="R694" s="10"/>
      <c r="S694" s="10"/>
      <c r="T694" s="10"/>
      <c r="U694" s="10"/>
      <c r="X694" s="10"/>
    </row>
    <row r="695" spans="1:24" ht="7.5" hidden="1" customHeight="1" x14ac:dyDescent="0.25">
      <c r="A695" s="1" t="str">
        <f>IF(R695=0,"",COUNTIF(A$23:A694,"&gt;0")+1)</f>
        <v/>
      </c>
      <c r="B695" s="1179" t="s">
        <v>41</v>
      </c>
      <c r="C695" s="1180"/>
      <c r="D695" s="1175" t="s">
        <v>940</v>
      </c>
      <c r="E695" s="1176"/>
      <c r="F695" s="1176"/>
      <c r="G695" s="1176"/>
      <c r="H695" s="1173"/>
      <c r="I695" s="328"/>
      <c r="J695" s="328"/>
      <c r="K695" s="328"/>
      <c r="L695" s="328"/>
      <c r="M695" s="328"/>
      <c r="N695" s="328"/>
      <c r="O695" s="329"/>
      <c r="P695" s="10"/>
      <c r="Q695" s="10"/>
      <c r="R695" s="10"/>
      <c r="S695" s="10"/>
      <c r="T695" s="10"/>
      <c r="U695" s="10"/>
      <c r="X695" s="10"/>
    </row>
    <row r="696" spans="1:24" ht="9.75" hidden="1" customHeight="1" thickBot="1" x14ac:dyDescent="0.3">
      <c r="A696" s="1" t="str">
        <f>IF(R696=0,"",COUNTIF(A$23:A695,"&gt;0")+1)</f>
        <v/>
      </c>
      <c r="B696" s="1171" t="s">
        <v>941</v>
      </c>
      <c r="C696" s="1172"/>
      <c r="D696" s="1177"/>
      <c r="E696" s="1178"/>
      <c r="F696" s="1178"/>
      <c r="G696" s="1178"/>
      <c r="H696" s="1174"/>
      <c r="I696" s="330"/>
      <c r="J696" s="331"/>
      <c r="K696" s="331"/>
      <c r="L696" s="331"/>
      <c r="M696" s="330"/>
      <c r="N696" s="331"/>
      <c r="O696" s="332" t="s">
        <v>48</v>
      </c>
      <c r="P696" s="12"/>
      <c r="Q696" s="10"/>
      <c r="R696" s="10"/>
      <c r="S696" s="10"/>
      <c r="T696" s="10"/>
      <c r="U696" s="10"/>
      <c r="X696" s="10"/>
    </row>
    <row r="697" spans="1:24" ht="11.25" hidden="1" customHeight="1" x14ac:dyDescent="0.25">
      <c r="A697" s="1" t="str">
        <f>IF(R697=0,"",COUNTIF(A$23:A696,"&gt;0")+1)</f>
        <v/>
      </c>
      <c r="B697" s="333"/>
      <c r="C697" s="334" t="s">
        <v>942</v>
      </c>
      <c r="D697" s="335" t="s">
        <v>943</v>
      </c>
      <c r="E697" s="336"/>
      <c r="F697" s="336"/>
      <c r="G697" s="337" t="s">
        <v>944</v>
      </c>
      <c r="H697" s="338" t="s">
        <v>945</v>
      </c>
      <c r="I697" s="339"/>
      <c r="J697" s="340"/>
      <c r="K697" s="341">
        <f>IF(VLOOKUP(D697,A!A$1:H$767,4,FALSE)="y",1,0)</f>
        <v>0</v>
      </c>
      <c r="L697" s="341">
        <f>IF(VLOOKUP(D697,A!A$1:H$767,5,FALSE)="y",1,0)</f>
        <v>0</v>
      </c>
      <c r="M697" s="342"/>
      <c r="N697" s="340">
        <f>VLOOKUP(D697,A!A$1:H$767,6,FALSE)</f>
        <v>0</v>
      </c>
      <c r="O697" s="343">
        <v>4</v>
      </c>
      <c r="P697" s="10">
        <f>VLOOKUP(D697,A!A$1:G$767,2,FALSE)</f>
        <v>0</v>
      </c>
      <c r="Q697" s="10" t="s">
        <v>946</v>
      </c>
      <c r="R697" s="10">
        <f t="shared" ref="R697:R704" si="74">B697</f>
        <v>0</v>
      </c>
      <c r="S697" s="10"/>
      <c r="T697" s="10">
        <v>0.1</v>
      </c>
      <c r="U697" s="10">
        <f t="shared" ref="U697:U703" si="75">T697*B697</f>
        <v>0</v>
      </c>
      <c r="X697" s="10"/>
    </row>
    <row r="698" spans="1:24" ht="11.25" hidden="1" customHeight="1" x14ac:dyDescent="0.25">
      <c r="A698" s="1" t="str">
        <f>IF(R698=0,"",COUNTIF(A$23:A697,"&gt;0")+1)</f>
        <v/>
      </c>
      <c r="B698" s="312"/>
      <c r="C698" s="63" t="s">
        <v>942</v>
      </c>
      <c r="D698" s="64" t="s">
        <v>947</v>
      </c>
      <c r="E698" s="65"/>
      <c r="F698" s="65"/>
      <c r="G698" s="228">
        <v>5021353014175</v>
      </c>
      <c r="H698" s="66" t="s">
        <v>945</v>
      </c>
      <c r="I698" s="67"/>
      <c r="J698" s="67"/>
      <c r="K698" s="68">
        <f>IF(VLOOKUP(D698,A!A$1:H$767,4,FALSE)="y",1,0)</f>
        <v>0</v>
      </c>
      <c r="L698" s="68">
        <f>IF(VLOOKUP(D698,A!A$1:H$767,5,FALSE)="y",1,0)</f>
        <v>0</v>
      </c>
      <c r="M698" s="149" t="str">
        <f>IF(VLOOKUP(D698,A!A$1:H$767,3,FALSE)="y","NEW","")</f>
        <v/>
      </c>
      <c r="N698" s="150">
        <f>VLOOKUP(D698,A!A$1:H$767,6,FALSE)</f>
        <v>0</v>
      </c>
      <c r="O698" s="313">
        <v>4</v>
      </c>
      <c r="P698" s="10">
        <f>VLOOKUP(D698,A!A$1:G$767,2,FALSE)</f>
        <v>0</v>
      </c>
      <c r="Q698" s="10" t="s">
        <v>946</v>
      </c>
      <c r="R698" s="10">
        <f t="shared" si="74"/>
        <v>0</v>
      </c>
      <c r="S698" s="10"/>
      <c r="T698" s="10">
        <v>0.1</v>
      </c>
      <c r="U698" s="10">
        <f t="shared" si="75"/>
        <v>0</v>
      </c>
      <c r="X698" s="10"/>
    </row>
    <row r="699" spans="1:24" ht="11.25" hidden="1" customHeight="1" x14ac:dyDescent="0.25">
      <c r="A699" s="1" t="str">
        <f>IF(R699=0,"",COUNTIF(A$23:A698,"&gt;0")+1)</f>
        <v/>
      </c>
      <c r="B699" s="312"/>
      <c r="C699" s="63" t="s">
        <v>942</v>
      </c>
      <c r="D699" s="64" t="s">
        <v>948</v>
      </c>
      <c r="E699" s="65"/>
      <c r="F699" s="65"/>
      <c r="G699" s="228">
        <v>5021353014221</v>
      </c>
      <c r="H699" s="66" t="s">
        <v>945</v>
      </c>
      <c r="I699" s="67"/>
      <c r="J699" s="67"/>
      <c r="K699" s="68">
        <f>IF(VLOOKUP(D699,A!A$1:H$767,4,FALSE)="y",1,0)</f>
        <v>0</v>
      </c>
      <c r="L699" s="68">
        <f>IF(VLOOKUP(D699,A!A$1:H$767,5,FALSE)="y",1,0)</f>
        <v>0</v>
      </c>
      <c r="M699" s="149" t="str">
        <f>IF(VLOOKUP(D699,A!A$1:H$767,3,FALSE)="y","NEW","")</f>
        <v/>
      </c>
      <c r="N699" s="150">
        <f>VLOOKUP(D699,A!A$1:H$767,6,FALSE)</f>
        <v>0</v>
      </c>
      <c r="O699" s="313">
        <v>4</v>
      </c>
      <c r="P699" s="10">
        <f>VLOOKUP(D699,A!A$1:G$767,2,FALSE)</f>
        <v>0</v>
      </c>
      <c r="Q699" s="10" t="s">
        <v>946</v>
      </c>
      <c r="R699" s="10">
        <f t="shared" si="74"/>
        <v>0</v>
      </c>
      <c r="S699" s="10"/>
      <c r="T699" s="10">
        <v>0.1</v>
      </c>
      <c r="U699" s="10">
        <f t="shared" si="75"/>
        <v>0</v>
      </c>
      <c r="X699" s="10"/>
    </row>
    <row r="700" spans="1:24" ht="11.25" hidden="1" customHeight="1" x14ac:dyDescent="0.25">
      <c r="A700" s="1" t="str">
        <f>IF(R700=0,"",COUNTIF(A$23:A699,"&gt;0")+1)</f>
        <v/>
      </c>
      <c r="B700" s="312"/>
      <c r="C700" s="63" t="s">
        <v>942</v>
      </c>
      <c r="D700" s="64" t="s">
        <v>949</v>
      </c>
      <c r="E700" s="65"/>
      <c r="F700" s="65"/>
      <c r="G700" s="228">
        <v>5021353014204</v>
      </c>
      <c r="H700" s="66" t="s">
        <v>945</v>
      </c>
      <c r="I700" s="67"/>
      <c r="J700" s="67"/>
      <c r="K700" s="68">
        <f>IF(VLOOKUP(D700,A!A$1:H$767,4,FALSE)="y",1,0)</f>
        <v>0</v>
      </c>
      <c r="L700" s="68">
        <f>IF(VLOOKUP(D700,A!A$1:H$767,5,FALSE)="y",1,0)</f>
        <v>0</v>
      </c>
      <c r="M700" s="149" t="str">
        <f>IF(VLOOKUP(D700,A!A$1:H$767,3,FALSE)="y","NEW","")</f>
        <v/>
      </c>
      <c r="N700" s="150">
        <f>VLOOKUP(D700,A!A$1:H$767,6,FALSE)</f>
        <v>0</v>
      </c>
      <c r="O700" s="313">
        <v>4</v>
      </c>
      <c r="P700" s="10">
        <f>VLOOKUP(D700,A!A$1:G$767,2,FALSE)</f>
        <v>0</v>
      </c>
      <c r="Q700" s="10" t="s">
        <v>946</v>
      </c>
      <c r="R700" s="10">
        <f t="shared" si="74"/>
        <v>0</v>
      </c>
      <c r="S700" s="10"/>
      <c r="T700" s="10">
        <v>0.1</v>
      </c>
      <c r="U700" s="10">
        <f t="shared" si="75"/>
        <v>0</v>
      </c>
      <c r="X700" s="10"/>
    </row>
    <row r="701" spans="1:24" ht="11.25" hidden="1" customHeight="1" thickBot="1" x14ac:dyDescent="0.3">
      <c r="A701" s="1" t="str">
        <f>IF(R701=0,"",COUNTIF(A$23:A700,"&gt;0")+1)</f>
        <v/>
      </c>
      <c r="B701" s="312"/>
      <c r="C701" s="63" t="s">
        <v>942</v>
      </c>
      <c r="D701" s="64" t="s">
        <v>950</v>
      </c>
      <c r="E701" s="344"/>
      <c r="F701" s="65"/>
      <c r="G701" s="228">
        <v>5021353014198</v>
      </c>
      <c r="H701" s="90" t="s">
        <v>945</v>
      </c>
      <c r="I701" s="67"/>
      <c r="J701" s="67"/>
      <c r="K701" s="68">
        <f>IF(VLOOKUP(D701,A!A$1:H$767,4,FALSE)="y",1,0)</f>
        <v>0</v>
      </c>
      <c r="L701" s="68">
        <f>IF(VLOOKUP(D701,A!A$1:H$767,5,FALSE)="y",1,0)</f>
        <v>0</v>
      </c>
      <c r="M701" s="149" t="str">
        <f>IF(VLOOKUP(D701,A!A$1:H$767,3,FALSE)="y","NEW","")</f>
        <v/>
      </c>
      <c r="N701" s="150">
        <f>VLOOKUP(D701,A!A$1:H$767,6,FALSE)</f>
        <v>0</v>
      </c>
      <c r="O701" s="313">
        <v>4</v>
      </c>
      <c r="P701" s="10">
        <f>VLOOKUP(D701,A!A$1:G$767,2,FALSE)</f>
        <v>0</v>
      </c>
      <c r="Q701" s="10" t="s">
        <v>946</v>
      </c>
      <c r="R701" s="10">
        <f t="shared" si="74"/>
        <v>0</v>
      </c>
      <c r="S701" s="10"/>
      <c r="T701" s="10">
        <v>0.1</v>
      </c>
      <c r="U701" s="10">
        <f t="shared" si="75"/>
        <v>0</v>
      </c>
      <c r="X701" s="10"/>
    </row>
    <row r="702" spans="1:24" ht="11.25" hidden="1" customHeight="1" x14ac:dyDescent="0.25">
      <c r="A702" s="1" t="str">
        <f>IF(R702=0,"",COUNTIF(A$23:A701,"&gt;0")+1)</f>
        <v/>
      </c>
      <c r="B702" s="345"/>
      <c r="C702" s="346" t="s">
        <v>942</v>
      </c>
      <c r="D702" s="347" t="s">
        <v>951</v>
      </c>
      <c r="E702" s="348"/>
      <c r="F702" s="269"/>
      <c r="G702" s="349">
        <v>5021353014211</v>
      </c>
      <c r="H702" s="350" t="s">
        <v>945</v>
      </c>
      <c r="I702" s="58"/>
      <c r="J702" s="58"/>
      <c r="K702" s="351">
        <f>IF(VLOOKUP(D702,A!A$1:H$767,4,FALSE)="y",1,0)</f>
        <v>0</v>
      </c>
      <c r="L702" s="351">
        <f>IF(VLOOKUP(D702,A!A$1:H$767,5,FALSE)="y",1,0)</f>
        <v>0</v>
      </c>
      <c r="M702" s="352"/>
      <c r="N702" s="58">
        <f>VLOOKUP(D702,A!A$1:H$767,6,FALSE)</f>
        <v>0</v>
      </c>
      <c r="O702" s="353">
        <v>4</v>
      </c>
      <c r="P702" s="10">
        <f>VLOOKUP(D702,A!A$1:G$767,2,FALSE)</f>
        <v>0</v>
      </c>
      <c r="Q702" s="10" t="s">
        <v>946</v>
      </c>
      <c r="R702" s="10">
        <f t="shared" si="74"/>
        <v>0</v>
      </c>
      <c r="S702" s="10"/>
      <c r="T702" s="10">
        <v>0.1</v>
      </c>
      <c r="U702" s="10">
        <f t="shared" si="75"/>
        <v>0</v>
      </c>
      <c r="X702" s="10"/>
    </row>
    <row r="703" spans="1:24" ht="11.25" hidden="1" customHeight="1" thickBot="1" x14ac:dyDescent="0.3">
      <c r="A703" s="1" t="str">
        <f>IF(R703=0,"",COUNTIF(A$23:A702,"&gt;0")+1)</f>
        <v/>
      </c>
      <c r="B703" s="354"/>
      <c r="C703" s="317" t="s">
        <v>942</v>
      </c>
      <c r="D703" s="318" t="s">
        <v>952</v>
      </c>
      <c r="E703" s="319"/>
      <c r="F703" s="319"/>
      <c r="G703" s="320"/>
      <c r="H703" s="322" t="s">
        <v>945</v>
      </c>
      <c r="I703" s="355"/>
      <c r="J703" s="355"/>
      <c r="K703" s="356">
        <f>IF(VLOOKUP(D703,A!A$1:H$767,4,FALSE)="y",1,0)</f>
        <v>0</v>
      </c>
      <c r="L703" s="356">
        <f>IF(VLOOKUP(D703,A!A$1:H$767,5,FALSE)="y",1,0)</f>
        <v>0</v>
      </c>
      <c r="M703" s="357" t="str">
        <f>IF(VLOOKUP(D703,A!A$1:H$767,3,FALSE)="y","NEW","")</f>
        <v/>
      </c>
      <c r="N703" s="355">
        <f>VLOOKUP(D703,A!A$1:H$767,6,FALSE)</f>
        <v>0</v>
      </c>
      <c r="O703" s="324">
        <v>4</v>
      </c>
      <c r="P703" s="10">
        <f>VLOOKUP(D703,A!A$1:G$767,2,FALSE)</f>
        <v>0</v>
      </c>
      <c r="Q703" s="10" t="s">
        <v>946</v>
      </c>
      <c r="R703" s="10">
        <f t="shared" si="74"/>
        <v>0</v>
      </c>
      <c r="S703" s="10"/>
      <c r="T703" s="10">
        <v>0.1</v>
      </c>
      <c r="U703" s="10">
        <f t="shared" si="75"/>
        <v>0</v>
      </c>
      <c r="X703" s="10"/>
    </row>
    <row r="704" spans="1:24" ht="12.75" hidden="1" customHeight="1" x14ac:dyDescent="0.25">
      <c r="A704" s="1" t="str">
        <f>IF(R704=0,"",COUNTIF(A$23:A703,"&gt;0")+1)</f>
        <v/>
      </c>
      <c r="B704" s="256">
        <f>SUM(B697:B703)</f>
        <v>0</v>
      </c>
      <c r="C704" s="358" t="s">
        <v>942</v>
      </c>
      <c r="D704" s="325" t="s">
        <v>953</v>
      </c>
      <c r="E704" s="300"/>
      <c r="F704" s="300"/>
      <c r="G704" s="300"/>
      <c r="H704" s="300"/>
      <c r="I704" s="300"/>
      <c r="J704" s="300"/>
      <c r="K704" s="300"/>
      <c r="L704" s="300"/>
      <c r="M704" s="326"/>
      <c r="N704" s="300"/>
      <c r="O704" s="327"/>
      <c r="P704" s="75"/>
      <c r="Q704" s="10" t="s">
        <v>946</v>
      </c>
      <c r="R704" s="10">
        <f t="shared" si="74"/>
        <v>0</v>
      </c>
      <c r="S704" s="10"/>
      <c r="T704" s="10"/>
      <c r="U704" s="10"/>
      <c r="X704" s="10"/>
    </row>
    <row r="705" spans="1:24" ht="7.5" hidden="1" customHeight="1" thickBot="1" x14ac:dyDescent="0.3">
      <c r="A705" s="1" t="str">
        <f>IF(R705=0,"",COUNTIF(A$23:A704,"&gt;0")+1)</f>
        <v/>
      </c>
      <c r="B705" s="528"/>
      <c r="C705" s="532"/>
      <c r="D705" s="533"/>
      <c r="E705" s="534"/>
      <c r="F705" s="534"/>
      <c r="G705" s="534"/>
      <c r="H705" s="534"/>
      <c r="I705" s="534"/>
      <c r="J705" s="534"/>
      <c r="K705" s="534"/>
      <c r="L705" s="534"/>
      <c r="M705" s="535"/>
      <c r="N705" s="534"/>
      <c r="O705" s="536"/>
      <c r="P705" s="75"/>
      <c r="Q705" s="10"/>
      <c r="R705" s="10"/>
      <c r="S705" s="10"/>
      <c r="T705" s="10"/>
      <c r="U705" s="10"/>
      <c r="X705" s="10"/>
    </row>
    <row r="706" spans="1:24" ht="12.75" customHeight="1" x14ac:dyDescent="0.25">
      <c r="A706" s="1" t="str">
        <f>IF(R706=0,"",COUNTIF(A$23:A705,"&gt;0")+1)</f>
        <v/>
      </c>
      <c r="B706" s="1255" t="s">
        <v>41</v>
      </c>
      <c r="C706" s="1256"/>
      <c r="D706" s="1257" t="s">
        <v>1393</v>
      </c>
      <c r="E706" s="1258"/>
      <c r="F706" s="1258"/>
      <c r="G706" s="1258"/>
      <c r="H706" s="1258"/>
      <c r="I706" s="328"/>
      <c r="J706" s="328"/>
      <c r="K706" s="328"/>
      <c r="L706" s="328"/>
      <c r="M706" s="328"/>
      <c r="N706" s="328"/>
      <c r="O706" s="329"/>
      <c r="P706" s="75"/>
      <c r="Q706" s="10"/>
      <c r="R706" s="10"/>
      <c r="S706" s="10"/>
      <c r="T706" s="10"/>
      <c r="U706" s="10"/>
      <c r="X706" s="10"/>
    </row>
    <row r="707" spans="1:24" ht="12.75" customHeight="1" thickBot="1" x14ac:dyDescent="0.3">
      <c r="A707" s="1" t="str">
        <f>IF(R707=0,"",COUNTIF(A$23:A706,"&gt;0")+1)</f>
        <v/>
      </c>
      <c r="B707" s="1261" t="s">
        <v>941</v>
      </c>
      <c r="C707" s="1262"/>
      <c r="D707" s="1259"/>
      <c r="E707" s="1260"/>
      <c r="F707" s="1260"/>
      <c r="G707" s="1260"/>
      <c r="H707" s="1260"/>
      <c r="I707" s="330"/>
      <c r="J707" s="331"/>
      <c r="K707" s="331"/>
      <c r="L707" s="331"/>
      <c r="M707" s="330"/>
      <c r="N707" s="331"/>
      <c r="O707" s="332" t="s">
        <v>48</v>
      </c>
      <c r="P707" s="75"/>
      <c r="Q707" s="10"/>
      <c r="R707" s="10"/>
      <c r="S707" s="10"/>
      <c r="T707" s="10"/>
      <c r="U707" s="10"/>
      <c r="X707" s="10"/>
    </row>
    <row r="708" spans="1:24" ht="11.25" hidden="1" customHeight="1" thickBot="1" x14ac:dyDescent="0.3">
      <c r="A708" s="1" t="str">
        <f>IF(R708=0,"",COUNTIF(A$23:A707,"&gt;0")+1)</f>
        <v/>
      </c>
      <c r="B708" s="823"/>
      <c r="C708" s="824" t="s">
        <v>942</v>
      </c>
      <c r="D708" s="825" t="s">
        <v>1383</v>
      </c>
      <c r="E708" s="826"/>
      <c r="F708" s="826"/>
      <c r="G708" s="827">
        <v>5021353003130</v>
      </c>
      <c r="H708" s="828" t="s">
        <v>1384</v>
      </c>
      <c r="I708" s="826"/>
      <c r="J708" s="826"/>
      <c r="K708" s="351" t="e">
        <f>IF(VLOOKUP(C708,A!#REF!,5,FALSE)="y",1,0)</f>
        <v>#REF!</v>
      </c>
      <c r="L708" s="826"/>
      <c r="M708" s="829"/>
      <c r="N708" s="826"/>
      <c r="O708" s="830">
        <v>4</v>
      </c>
      <c r="P708" s="10">
        <f>VLOOKUP(D708,A!A$1:G$767,2,FALSE)</f>
        <v>0</v>
      </c>
      <c r="Q708" s="5" t="s">
        <v>946</v>
      </c>
      <c r="R708" s="5">
        <f>B708</f>
        <v>0</v>
      </c>
      <c r="S708" s="10">
        <f>VLOOKUP(D708,A!A$1:AK$767,31,FALSE)</f>
        <v>25</v>
      </c>
      <c r="T708" s="5">
        <v>0.1</v>
      </c>
      <c r="U708" s="5">
        <f>T708*B708</f>
        <v>0</v>
      </c>
      <c r="X708" s="5"/>
    </row>
    <row r="709" spans="1:24" ht="13.5" customHeight="1" thickBot="1" x14ac:dyDescent="0.3">
      <c r="A709" s="1" t="str">
        <f>IF(R709=0,"",COUNTIF(A$23:A708,"&gt;0")+1)</f>
        <v/>
      </c>
      <c r="B709" s="839"/>
      <c r="C709" s="840" t="s">
        <v>942</v>
      </c>
      <c r="D709" s="841" t="s">
        <v>1385</v>
      </c>
      <c r="E709" s="842"/>
      <c r="F709" s="842"/>
      <c r="G709" s="843">
        <v>5021353003338</v>
      </c>
      <c r="H709" s="844" t="s">
        <v>1386</v>
      </c>
      <c r="I709" s="842"/>
      <c r="J709" s="842"/>
      <c r="K709" s="68">
        <f>IF(VLOOKUP(D709,A!A$1:H$767,4,FALSE)="y",1,0)</f>
        <v>1</v>
      </c>
      <c r="L709" s="842"/>
      <c r="M709" s="845"/>
      <c r="N709" s="842"/>
      <c r="O709" s="846">
        <v>4</v>
      </c>
      <c r="P709" s="10" t="str">
        <f>VLOOKUP(D709,A!A$1:G$767,2,FALSE)</f>
        <v>Y</v>
      </c>
      <c r="Q709" s="5" t="s">
        <v>946</v>
      </c>
      <c r="R709" s="5">
        <f>B709</f>
        <v>0</v>
      </c>
      <c r="S709" s="10">
        <f>VLOOKUP(D709,A!A$1:AK$767,31,FALSE)</f>
        <v>25</v>
      </c>
      <c r="T709" s="5">
        <v>0.1</v>
      </c>
      <c r="U709" s="5">
        <f>T709*B709</f>
        <v>0</v>
      </c>
      <c r="X709" s="5"/>
    </row>
    <row r="710" spans="1:24" ht="11.25" hidden="1" customHeight="1" thickBot="1" x14ac:dyDescent="0.3">
      <c r="A710" s="1" t="str">
        <f>IF(R710=0,"",COUNTIF(A$23:A709,"&gt;0")+1)</f>
        <v/>
      </c>
      <c r="B710" s="831"/>
      <c r="C710" s="832" t="s">
        <v>942</v>
      </c>
      <c r="D710" s="833" t="s">
        <v>1387</v>
      </c>
      <c r="E710" s="834"/>
      <c r="F710" s="834"/>
      <c r="G710" s="835">
        <v>5021353003062</v>
      </c>
      <c r="H710" s="836" t="s">
        <v>1388</v>
      </c>
      <c r="I710" s="834"/>
      <c r="J710" s="834"/>
      <c r="K710" s="378" t="e">
        <f>IF(VLOOKUP(C710,A!#REF!,5,FALSE)="y",1,0)</f>
        <v>#REF!</v>
      </c>
      <c r="L710" s="834"/>
      <c r="M710" s="837"/>
      <c r="N710" s="834"/>
      <c r="O710" s="838">
        <v>4</v>
      </c>
      <c r="P710" s="10">
        <f>VLOOKUP(D710,A!A$1:G$767,2,FALSE)</f>
        <v>0</v>
      </c>
      <c r="Q710" s="5" t="s">
        <v>946</v>
      </c>
      <c r="R710" s="5">
        <f>B710</f>
        <v>0</v>
      </c>
      <c r="S710" s="10">
        <f>VLOOKUP(D710,A!A$1:AK$767,31,FALSE)</f>
        <v>25</v>
      </c>
      <c r="T710" s="5">
        <v>0.1</v>
      </c>
      <c r="U710" s="5">
        <f>T710*B710</f>
        <v>0</v>
      </c>
      <c r="X710" s="5"/>
    </row>
    <row r="711" spans="1:24" ht="11.25" customHeight="1" x14ac:dyDescent="0.25">
      <c r="A711" s="1" t="str">
        <f>IF(R711=0,"",COUNTIF(A$23:A710,"&gt;0")+1)</f>
        <v/>
      </c>
      <c r="B711" s="256">
        <f>SUM(B708:B710)</f>
        <v>0</v>
      </c>
      <c r="C711" s="780" t="s">
        <v>942</v>
      </c>
      <c r="D711" s="325" t="s">
        <v>1389</v>
      </c>
      <c r="E711" s="772"/>
      <c r="F711" s="772"/>
      <c r="G711" s="773"/>
      <c r="H711" s="774"/>
      <c r="I711" s="772"/>
      <c r="J711" s="772"/>
      <c r="K711" s="772"/>
      <c r="L711" s="772"/>
      <c r="M711" s="775"/>
      <c r="N711" s="772"/>
      <c r="O711" s="776"/>
      <c r="P711" s="736"/>
      <c r="Q711" s="5" t="s">
        <v>946</v>
      </c>
      <c r="R711" s="5">
        <f>B711</f>
        <v>0</v>
      </c>
      <c r="X711" s="5"/>
    </row>
    <row r="712" spans="1:24" ht="6.75" customHeight="1" thickBot="1" x14ac:dyDescent="0.3">
      <c r="A712" s="1" t="str">
        <f>IF(R712=0,"",COUNTIF(A$23:A711,"&gt;0")+1)</f>
        <v/>
      </c>
      <c r="P712" s="2"/>
      <c r="Q712" s="2"/>
      <c r="R712" s="2"/>
      <c r="S712" s="2"/>
      <c r="T712" s="2"/>
      <c r="U712" s="2"/>
      <c r="V712" s="2"/>
      <c r="W712" s="2"/>
      <c r="X712" s="5"/>
    </row>
    <row r="713" spans="1:24" ht="9.75" customHeight="1" thickBot="1" x14ac:dyDescent="0.3">
      <c r="A713" s="1" t="str">
        <f>IF(R713=0,"",COUNTIF(A$23:A712,"&gt;0")+1)</f>
        <v/>
      </c>
      <c r="B713" s="1245" t="s">
        <v>41</v>
      </c>
      <c r="C713" s="1245"/>
      <c r="D713" s="1219" t="s">
        <v>1479</v>
      </c>
      <c r="E713" s="1219"/>
      <c r="F713" s="1219"/>
      <c r="G713" s="1219"/>
      <c r="H713" s="359"/>
      <c r="I713" s="328"/>
      <c r="J713" s="328"/>
      <c r="K713" s="328"/>
      <c r="L713" s="328"/>
      <c r="M713" s="328"/>
      <c r="N713" s="328"/>
      <c r="O713" s="329"/>
      <c r="P713" s="736"/>
      <c r="X713" s="5"/>
    </row>
    <row r="714" spans="1:24" ht="9.75" customHeight="1" thickBot="1" x14ac:dyDescent="0.3">
      <c r="A714" s="1" t="str">
        <f>IF(R714=0,"",COUNTIF(A$23:A713,"&gt;0")+1)</f>
        <v/>
      </c>
      <c r="B714" s="1220" t="s">
        <v>586</v>
      </c>
      <c r="C714" s="1220"/>
      <c r="D714" s="1219"/>
      <c r="E714" s="1219"/>
      <c r="F714" s="1219"/>
      <c r="G714" s="1219"/>
      <c r="H714" s="1312" t="s">
        <v>954</v>
      </c>
      <c r="I714" s="1312"/>
      <c r="J714" s="360"/>
      <c r="K714" s="331"/>
      <c r="L714" s="331"/>
      <c r="M714" s="330"/>
      <c r="N714" s="331"/>
      <c r="O714" s="332" t="s">
        <v>48</v>
      </c>
      <c r="P714" s="12"/>
      <c r="Q714" s="10"/>
      <c r="R714" s="10"/>
      <c r="S714" s="10"/>
      <c r="T714" s="10"/>
      <c r="U714" s="10"/>
      <c r="X714" s="10"/>
    </row>
    <row r="715" spans="1:24" ht="13.5" hidden="1" customHeight="1" x14ac:dyDescent="0.25">
      <c r="A715" s="1" t="str">
        <f>IF(R715=0,"",COUNTIF(A$23:A714,"&gt;0")+1)</f>
        <v/>
      </c>
      <c r="B715" s="333"/>
      <c r="C715" s="334" t="s">
        <v>587</v>
      </c>
      <c r="D715" s="335" t="s">
        <v>955</v>
      </c>
      <c r="E715" s="336"/>
      <c r="F715" s="336"/>
      <c r="G715" s="337" t="s">
        <v>944</v>
      </c>
      <c r="H715" s="338" t="s">
        <v>956</v>
      </c>
      <c r="I715" s="361"/>
      <c r="J715" s="340"/>
      <c r="K715" s="341">
        <f>IF(VLOOKUP(D715,A!A$1:H$767,4,FALSE)="y",1,0)</f>
        <v>0</v>
      </c>
      <c r="L715" s="341">
        <f>IF(VLOOKUP(D715,A!A$1:H$767,5,FALSE)="y",1,0)</f>
        <v>0</v>
      </c>
      <c r="M715" s="779"/>
      <c r="N715" s="340">
        <f>VLOOKUP(D715,A!A$1:H$767,6,FALSE)</f>
        <v>0</v>
      </c>
      <c r="O715" s="343">
        <v>4</v>
      </c>
      <c r="P715" s="10">
        <f>VLOOKUP(D715,A!A$1:G$767,2,FALSE)</f>
        <v>0</v>
      </c>
      <c r="Q715" s="10" t="str">
        <f>"1L "&amp;H$723&amp;" Waterlilies"</f>
        <v>1L Small Waterlilies</v>
      </c>
      <c r="R715" s="10">
        <f t="shared" ref="R715:R723" si="76">B715</f>
        <v>0</v>
      </c>
      <c r="S715" s="10"/>
      <c r="T715" s="10">
        <v>0.06</v>
      </c>
      <c r="U715" s="10">
        <f t="shared" ref="U715:U722" si="77">T715*B715</f>
        <v>0</v>
      </c>
      <c r="X715" s="10"/>
    </row>
    <row r="716" spans="1:24" ht="11.25" hidden="1" customHeight="1" x14ac:dyDescent="0.25">
      <c r="A716" s="1" t="str">
        <f>IF(R716=0,"",COUNTIF(A$23:A715,"&gt;0")+1)</f>
        <v/>
      </c>
      <c r="B716" s="312"/>
      <c r="C716" s="63" t="s">
        <v>587</v>
      </c>
      <c r="D716" s="64" t="s">
        <v>957</v>
      </c>
      <c r="E716" s="65"/>
      <c r="F716" s="715" t="s">
        <v>1371</v>
      </c>
      <c r="G716" s="653">
        <v>5021353003086</v>
      </c>
      <c r="H716" s="66" t="s">
        <v>932</v>
      </c>
      <c r="I716" s="67"/>
      <c r="J716" s="67"/>
      <c r="K716" s="68">
        <f>IF(VLOOKUP(D716,A!A$1:H$767,4,FALSE)="y",1,0)</f>
        <v>0</v>
      </c>
      <c r="L716" s="68">
        <f>IF(VLOOKUP(D716,A!A$1:H$767,5,FALSE)="y",1,0)</f>
        <v>0</v>
      </c>
      <c r="M716" s="706" t="s">
        <v>64</v>
      </c>
      <c r="N716" s="150">
        <f>VLOOKUP(D716,A!A$1:H$767,6,FALSE)</f>
        <v>0</v>
      </c>
      <c r="O716" s="313">
        <v>4</v>
      </c>
      <c r="P716" s="10">
        <f>VLOOKUP(D716,A!A$1:G$767,2,FALSE)</f>
        <v>0</v>
      </c>
      <c r="Q716" s="10" t="str">
        <f t="shared" ref="Q716:Q723" si="78">"1L "&amp;H$723&amp;" Waterlilies"</f>
        <v>1L Small Waterlilies</v>
      </c>
      <c r="R716" s="10">
        <f t="shared" si="76"/>
        <v>0</v>
      </c>
      <c r="S716" s="10"/>
      <c r="T716" s="10">
        <v>0.06</v>
      </c>
      <c r="U716" s="10">
        <f t="shared" si="77"/>
        <v>0</v>
      </c>
      <c r="X716" s="10"/>
    </row>
    <row r="717" spans="1:24" ht="11.25" hidden="1" customHeight="1" x14ac:dyDescent="0.25">
      <c r="A717" s="1" t="str">
        <f>IF(R717=0,"",COUNTIF(A$23:A716,"&gt;0")+1)</f>
        <v/>
      </c>
      <c r="B717" s="312"/>
      <c r="C717" s="63" t="s">
        <v>587</v>
      </c>
      <c r="D717" s="64" t="s">
        <v>958</v>
      </c>
      <c r="E717" s="65"/>
      <c r="F717" s="715"/>
      <c r="G717" s="653">
        <v>5021353003291</v>
      </c>
      <c r="H717" s="66" t="s">
        <v>934</v>
      </c>
      <c r="I717" s="67"/>
      <c r="J717" s="67"/>
      <c r="K717" s="68">
        <f>IF(VLOOKUP(D717,A!A$1:H$767,4,FALSE)="y",1,0)</f>
        <v>0</v>
      </c>
      <c r="L717" s="68">
        <f>IF(VLOOKUP(D717,A!A$1:H$767,5,FALSE)="y",1,0)</f>
        <v>0</v>
      </c>
      <c r="M717" s="706" t="str">
        <f>IF(VLOOKUP(D717,A!A$1:H$767,3,FALSE)="y","NEW","")</f>
        <v/>
      </c>
      <c r="N717" s="150">
        <f>VLOOKUP(D717,A!A$1:H$767,6,FALSE)</f>
        <v>0</v>
      </c>
      <c r="O717" s="313">
        <v>4</v>
      </c>
      <c r="P717" s="10">
        <f>VLOOKUP(D717,A!A$1:G$767,2,FALSE)</f>
        <v>0</v>
      </c>
      <c r="Q717" s="10" t="str">
        <f>"1L "&amp;H$723&amp;" Waterlilies"</f>
        <v>1L Small Waterlilies</v>
      </c>
      <c r="R717" s="10">
        <f t="shared" si="76"/>
        <v>0</v>
      </c>
      <c r="S717" s="10"/>
      <c r="T717" s="10">
        <v>0.06</v>
      </c>
      <c r="U717" s="10">
        <f t="shared" si="77"/>
        <v>0</v>
      </c>
      <c r="X717" s="10"/>
    </row>
    <row r="718" spans="1:24" ht="11.25" hidden="1" customHeight="1" x14ac:dyDescent="0.25">
      <c r="A718" s="1" t="str">
        <f>IF(R718=0,"",COUNTIF(A$23:A717,"&gt;0")+1)</f>
        <v/>
      </c>
      <c r="B718" s="312"/>
      <c r="C718" s="63" t="s">
        <v>587</v>
      </c>
      <c r="D718" s="64" t="s">
        <v>959</v>
      </c>
      <c r="E718" s="65"/>
      <c r="F718" s="715"/>
      <c r="G718" s="653">
        <v>5021353014853</v>
      </c>
      <c r="H718" s="66" t="s">
        <v>936</v>
      </c>
      <c r="I718" s="67"/>
      <c r="J718" s="67"/>
      <c r="K718" s="68">
        <f>IF(VLOOKUP(D718,A!A$1:H$767,4,FALSE)="y",1,0)</f>
        <v>0</v>
      </c>
      <c r="L718" s="68">
        <f>IF(VLOOKUP(D718,A!A$1:H$767,5,FALSE)="y",1,0)</f>
        <v>0</v>
      </c>
      <c r="M718" s="706" t="str">
        <f>IF(VLOOKUP(D718,A!A$1:H$767,3,FALSE)="y","NEW","")</f>
        <v/>
      </c>
      <c r="N718" s="150">
        <f>VLOOKUP(D718,A!A$1:H$767,6,FALSE)</f>
        <v>0</v>
      </c>
      <c r="O718" s="313">
        <v>4</v>
      </c>
      <c r="P718" s="10">
        <f>VLOOKUP(D718,A!A$1:G$767,2,FALSE)</f>
        <v>0</v>
      </c>
      <c r="Q718" s="10" t="str">
        <f t="shared" si="78"/>
        <v>1L Small Waterlilies</v>
      </c>
      <c r="R718" s="10">
        <f t="shared" si="76"/>
        <v>0</v>
      </c>
      <c r="S718" s="10"/>
      <c r="T718" s="10">
        <v>0.06</v>
      </c>
      <c r="U718" s="10">
        <f t="shared" si="77"/>
        <v>0</v>
      </c>
      <c r="X718" s="10"/>
    </row>
    <row r="719" spans="1:24" ht="11.25" hidden="1" customHeight="1" x14ac:dyDescent="0.25">
      <c r="A719" s="1" t="str">
        <f>IF(R719=0,"",COUNTIF(A$23:A718,"&gt;0")+1)</f>
        <v/>
      </c>
      <c r="B719" s="312"/>
      <c r="C719" s="63" t="s">
        <v>587</v>
      </c>
      <c r="D719" s="64" t="s">
        <v>1459</v>
      </c>
      <c r="E719" s="65"/>
      <c r="F719" s="715"/>
      <c r="G719" s="653">
        <v>5021353003345</v>
      </c>
      <c r="H719" s="66" t="s">
        <v>938</v>
      </c>
      <c r="I719" s="67"/>
      <c r="J719" s="67"/>
      <c r="K719" s="68">
        <f>IF(VLOOKUP(D719,A!A$1:H$767,4,FALSE)="y",1,0)</f>
        <v>0</v>
      </c>
      <c r="L719" s="68">
        <f>IF(VLOOKUP(D719,A!A$1:H$767,5,FALSE)="y",1,0)</f>
        <v>0</v>
      </c>
      <c r="M719" s="711" t="s">
        <v>64</v>
      </c>
      <c r="N719" s="67">
        <f>VLOOKUP(D719,A!A$1:H$767,6,FALSE)</f>
        <v>0</v>
      </c>
      <c r="O719" s="313">
        <v>4</v>
      </c>
      <c r="P719" s="10">
        <f>VLOOKUP(D719,A!A$1:G$767,2,FALSE)</f>
        <v>0</v>
      </c>
      <c r="Q719" s="10" t="str">
        <f t="shared" si="78"/>
        <v>1L Small Waterlilies</v>
      </c>
      <c r="R719" s="10">
        <f t="shared" si="76"/>
        <v>0</v>
      </c>
      <c r="S719" s="10">
        <f>VLOOKUP(D719,A!A$1:AK$767,31,FALSE)</f>
        <v>25</v>
      </c>
      <c r="T719" s="10">
        <v>0.06</v>
      </c>
      <c r="U719" s="10">
        <f t="shared" si="77"/>
        <v>0</v>
      </c>
      <c r="X719" s="10"/>
    </row>
    <row r="720" spans="1:24" ht="12.75" hidden="1" customHeight="1" x14ac:dyDescent="0.25">
      <c r="A720" s="1" t="str">
        <f>IF(R720=0,"",COUNTIF(A$23:A719,"&gt;0")+1)</f>
        <v/>
      </c>
      <c r="B720" s="314"/>
      <c r="C720" s="577" t="s">
        <v>587</v>
      </c>
      <c r="D720" s="527" t="s">
        <v>1306</v>
      </c>
      <c r="E720" s="217"/>
      <c r="F720" s="217"/>
      <c r="G720" s="604"/>
      <c r="H720" s="579" t="s">
        <v>1305</v>
      </c>
      <c r="I720" s="219"/>
      <c r="J720" s="219"/>
      <c r="K720" s="351"/>
      <c r="L720" s="351"/>
      <c r="M720" s="605" t="s">
        <v>64</v>
      </c>
      <c r="N720" s="219"/>
      <c r="O720" s="581">
        <v>4</v>
      </c>
      <c r="P720" s="10">
        <f>VLOOKUP(D720,A!A$1:G$767,2,FALSE)</f>
        <v>0</v>
      </c>
      <c r="Q720" s="10" t="str">
        <f>"1L "&amp;H$723&amp;" Waterlilies"</f>
        <v>1L Small Waterlilies</v>
      </c>
      <c r="R720" s="10">
        <f>B720</f>
        <v>0</v>
      </c>
      <c r="S720" s="10">
        <f>VLOOKUP(D720,A!A$1:AK$767,31,FALSE)</f>
        <v>25</v>
      </c>
      <c r="T720" s="10">
        <v>0.06</v>
      </c>
      <c r="U720" s="10">
        <f>T720*B720</f>
        <v>0</v>
      </c>
      <c r="X720" s="10"/>
    </row>
    <row r="721" spans="1:24" ht="11.25" hidden="1" customHeight="1" thickBot="1" x14ac:dyDescent="0.3">
      <c r="A721" s="1" t="str">
        <f>IF(R721=0,"",COUNTIF(A$23:A720,"&gt;0")+1)</f>
        <v/>
      </c>
      <c r="B721" s="316"/>
      <c r="C721" s="317" t="s">
        <v>587</v>
      </c>
      <c r="D721" s="318" t="s">
        <v>960</v>
      </c>
      <c r="E721" s="319"/>
      <c r="F721" s="319"/>
      <c r="G721" s="362">
        <v>5021353003086</v>
      </c>
      <c r="H721" s="322" t="s">
        <v>932</v>
      </c>
      <c r="I721" s="363"/>
      <c r="J721" s="355"/>
      <c r="K721" s="356">
        <f>IF(VLOOKUP(D721,A!A$1:H$767,4,FALSE)="y",1,0)</f>
        <v>0</v>
      </c>
      <c r="L721" s="356">
        <f>IF(VLOOKUP(D721,A!A$1:H$767,5,FALSE)="y",1,0)</f>
        <v>0</v>
      </c>
      <c r="M721" s="707" t="str">
        <f>IF(VLOOKUP(D721,A!A$1:H$767,3,FALSE)="y","NEW","")</f>
        <v/>
      </c>
      <c r="N721" s="355">
        <f>VLOOKUP(D721,A!A$1:H$767,6,FALSE)</f>
        <v>0</v>
      </c>
      <c r="O721" s="324">
        <v>4</v>
      </c>
      <c r="P721" s="10">
        <f>VLOOKUP(D721,A!A$1:G$767,2,FALSE)</f>
        <v>0</v>
      </c>
      <c r="Q721" s="10" t="str">
        <f t="shared" si="78"/>
        <v>1L Small Waterlilies</v>
      </c>
      <c r="R721" s="10">
        <f t="shared" si="76"/>
        <v>0</v>
      </c>
      <c r="S721" s="10">
        <f>VLOOKUP(D721,A!A$1:AK$767,31,FALSE)</f>
        <v>25</v>
      </c>
      <c r="T721" s="10">
        <v>0.06</v>
      </c>
      <c r="U721" s="10">
        <f t="shared" si="77"/>
        <v>0</v>
      </c>
      <c r="X721" s="10"/>
    </row>
    <row r="722" spans="1:24" ht="12" customHeight="1" thickBot="1" x14ac:dyDescent="0.3">
      <c r="A722" s="1" t="str">
        <f>IF(R722=0,"",COUNTIF(A$23:A721,"&gt;0")+1)</f>
        <v/>
      </c>
      <c r="B722" s="364"/>
      <c r="C722" s="365" t="s">
        <v>587</v>
      </c>
      <c r="D722" s="366" t="s">
        <v>961</v>
      </c>
      <c r="E722" s="367"/>
      <c r="F722" s="367"/>
      <c r="G722" s="658">
        <v>5021353003291</v>
      </c>
      <c r="H722" s="368" t="s">
        <v>934</v>
      </c>
      <c r="I722" s="369"/>
      <c r="J722" s="254"/>
      <c r="K722" s="68">
        <f>IF(VLOOKUP(D722,A!A$1:H$767,4,FALSE)="y",1,0)</f>
        <v>1</v>
      </c>
      <c r="L722" s="370">
        <f>IF(VLOOKUP(D722,A!A$1:H$767,5,FALSE)="y",1,0)</f>
        <v>0</v>
      </c>
      <c r="M722" s="710" t="s">
        <v>64</v>
      </c>
      <c r="N722" s="254">
        <f>VLOOKUP(D722,A!A$1:H$767,6,FALSE)</f>
        <v>0</v>
      </c>
      <c r="O722" s="372">
        <v>4</v>
      </c>
      <c r="P722" s="10" t="str">
        <f>VLOOKUP(D722,A!A$1:G$767,2,FALSE)</f>
        <v>y</v>
      </c>
      <c r="Q722" s="10" t="str">
        <f t="shared" si="78"/>
        <v>1L Small Waterlilies</v>
      </c>
      <c r="R722" s="10">
        <f t="shared" si="76"/>
        <v>0</v>
      </c>
      <c r="S722" s="10">
        <f>VLOOKUP(D722,A!A$1:AK$767,31,FALSE)</f>
        <v>25</v>
      </c>
      <c r="T722" s="10">
        <v>0.06</v>
      </c>
      <c r="U722" s="10">
        <f t="shared" si="77"/>
        <v>0</v>
      </c>
      <c r="X722" s="10"/>
    </row>
    <row r="723" spans="1:24" ht="12" customHeight="1" x14ac:dyDescent="0.25">
      <c r="A723" s="1" t="str">
        <f>IF(R723=0,"",COUNTIF(A$23:A722,"&gt;0")+1)</f>
        <v/>
      </c>
      <c r="B723" s="256">
        <f>SUM(B715:B722)</f>
        <v>0</v>
      </c>
      <c r="C723" s="358" t="s">
        <v>587</v>
      </c>
      <c r="D723" s="325" t="str">
        <f>"Total 1L "&amp;H723&amp;" Waterlilies (x3)"</f>
        <v>Total 1L Small Waterlilies (x3)</v>
      </c>
      <c r="E723" s="300"/>
      <c r="F723" s="300"/>
      <c r="G723" s="300"/>
      <c r="H723" s="373" t="str">
        <f>IF(J714&lt;&gt;"","Pygmaea","Small")</f>
        <v>Small</v>
      </c>
      <c r="I723" s="300"/>
      <c r="J723" s="300"/>
      <c r="K723" s="300"/>
      <c r="L723" s="300"/>
      <c r="M723" s="326"/>
      <c r="N723" s="300"/>
      <c r="O723" s="327"/>
      <c r="P723" s="75"/>
      <c r="Q723" s="10" t="str">
        <f t="shared" si="78"/>
        <v>1L Small Waterlilies</v>
      </c>
      <c r="R723" s="10">
        <f t="shared" si="76"/>
        <v>0</v>
      </c>
      <c r="S723" s="10"/>
      <c r="T723" s="10"/>
      <c r="U723" s="10"/>
      <c r="X723" s="10"/>
    </row>
    <row r="724" spans="1:24" ht="6.75" customHeight="1" x14ac:dyDescent="0.25">
      <c r="A724" s="1" t="str">
        <f>IF(R724=0,"",COUNTIF(A$23:A723,"&gt;0")+1)</f>
        <v/>
      </c>
      <c r="B724" s="534"/>
      <c r="C724" s="777" t="s">
        <v>1392</v>
      </c>
      <c r="D724" s="534"/>
      <c r="E724" s="534"/>
      <c r="F724" s="534"/>
      <c r="G724" s="534"/>
      <c r="H724" s="534"/>
      <c r="I724" s="534"/>
      <c r="J724" s="534"/>
      <c r="K724" s="534"/>
      <c r="L724" s="534"/>
      <c r="M724" s="535"/>
      <c r="N724" s="534"/>
      <c r="O724" s="536"/>
      <c r="P724" s="75"/>
      <c r="R724" s="10"/>
      <c r="S724" s="10"/>
      <c r="T724" s="10"/>
      <c r="U724" s="10"/>
      <c r="X724" s="10"/>
    </row>
    <row r="725" spans="1:24" ht="2.25" customHeight="1" thickBot="1" x14ac:dyDescent="0.3">
      <c r="A725" s="1" t="str">
        <f>IF(R725=0,"",COUNTIF(A$23:A724,"&gt;0")+1)</f>
        <v/>
      </c>
      <c r="B725" s="778"/>
      <c r="C725" s="778"/>
      <c r="D725" s="778"/>
      <c r="E725" s="778"/>
      <c r="F725" s="778"/>
      <c r="G725" s="778"/>
      <c r="H725" s="778"/>
      <c r="I725" s="778"/>
      <c r="J725" s="778"/>
      <c r="P725" s="10"/>
      <c r="Q725" s="10"/>
      <c r="R725" s="10"/>
      <c r="S725" s="10"/>
      <c r="T725" s="10"/>
      <c r="U725" s="10"/>
      <c r="X725" s="10"/>
    </row>
    <row r="726" spans="1:24" ht="7.5" customHeight="1" thickBot="1" x14ac:dyDescent="0.3">
      <c r="A726" s="1" t="str">
        <f>IF(R726=0,"",COUNTIF(A$23:A725,"&gt;0")+1)</f>
        <v/>
      </c>
      <c r="B726" s="1245" t="s">
        <v>41</v>
      </c>
      <c r="C726" s="1245"/>
      <c r="D726" s="1219" t="s">
        <v>1325</v>
      </c>
      <c r="E726" s="1219"/>
      <c r="F726" s="1219"/>
      <c r="G726" s="1219"/>
      <c r="H726" s="1294" t="s">
        <v>584</v>
      </c>
      <c r="I726" s="328"/>
      <c r="J726" s="328"/>
      <c r="K726" s="328"/>
      <c r="L726" s="328"/>
      <c r="M726" s="328"/>
      <c r="N726" s="328"/>
      <c r="O726" s="329"/>
      <c r="P726" s="10"/>
      <c r="Q726" s="10"/>
      <c r="R726" s="10"/>
      <c r="S726" s="10"/>
      <c r="T726" s="10"/>
      <c r="U726" s="10"/>
      <c r="X726" s="10"/>
    </row>
    <row r="727" spans="1:24" ht="11.25" customHeight="1" thickBot="1" x14ac:dyDescent="0.3">
      <c r="A727" s="1" t="str">
        <f>IF(R727=0,"",COUNTIF(A$23:A726,"&gt;0")+1)</f>
        <v/>
      </c>
      <c r="B727" s="1220" t="s">
        <v>586</v>
      </c>
      <c r="C727" s="1220"/>
      <c r="D727" s="1219"/>
      <c r="E727" s="1219"/>
      <c r="F727" s="1219"/>
      <c r="G727" s="1219"/>
      <c r="H727" s="1294"/>
      <c r="I727" s="330"/>
      <c r="J727" s="331"/>
      <c r="K727" s="331"/>
      <c r="L727" s="331"/>
      <c r="M727" s="330"/>
      <c r="N727" s="331"/>
      <c r="O727" s="332" t="s">
        <v>48</v>
      </c>
      <c r="P727" s="12"/>
      <c r="Q727" s="10"/>
      <c r="R727" s="10"/>
      <c r="S727" s="10"/>
      <c r="T727" s="10"/>
      <c r="U727" s="10"/>
      <c r="X727" s="10"/>
    </row>
    <row r="728" spans="1:24" ht="11.25" customHeight="1" x14ac:dyDescent="0.25">
      <c r="A728" s="1" t="str">
        <f>IF(R728=0,"",COUNTIF(A$23:A727,"&gt;0")+1)</f>
        <v/>
      </c>
      <c r="B728" s="308"/>
      <c r="C728" s="164" t="s">
        <v>587</v>
      </c>
      <c r="D728" s="165" t="s">
        <v>943</v>
      </c>
      <c r="E728" s="166"/>
      <c r="F728" s="166"/>
      <c r="G728" s="374" t="s">
        <v>944</v>
      </c>
      <c r="H728" s="606" t="s">
        <v>962</v>
      </c>
      <c r="I728" s="375"/>
      <c r="J728" s="58"/>
      <c r="K728" s="68">
        <f>IF(VLOOKUP(D728,A!A$1:O$767,11,FALSE)="y",1,0)</f>
        <v>1</v>
      </c>
      <c r="L728" s="68">
        <f>IF(VLOOKUP(D728,A!A$1:O$767,12,FALSE)="y",1,0)</f>
        <v>1</v>
      </c>
      <c r="M728" s="149" t="str">
        <f>IF(VLOOKUP(D728,A!A$1:O$767,10,FALSE)="y","NEW","")</f>
        <v/>
      </c>
      <c r="N728" s="150">
        <f>VLOOKUP(D728,A!A$1:O$767,13,FALSE)</f>
        <v>0</v>
      </c>
      <c r="O728" s="311">
        <v>4</v>
      </c>
      <c r="P728" s="10" t="str">
        <f>VLOOKUP(D728,A!A$1:O$767,9,FALSE)</f>
        <v>y</v>
      </c>
      <c r="Q728" s="10" t="s">
        <v>963</v>
      </c>
      <c r="R728" s="10">
        <f t="shared" ref="R728:R735" si="79">B728</f>
        <v>0</v>
      </c>
      <c r="S728" s="10">
        <f>VLOOKUP(D728,A!A$1:AK$767,32,FALSE)</f>
        <v>30</v>
      </c>
      <c r="T728" s="10">
        <v>0.125</v>
      </c>
      <c r="U728" s="10">
        <f t="shared" ref="U728:U734" si="80">T728*B728</f>
        <v>0</v>
      </c>
      <c r="X728" s="10"/>
    </row>
    <row r="729" spans="1:24" ht="11.25" customHeight="1" x14ac:dyDescent="0.25">
      <c r="A729" s="1" t="str">
        <f>IF(R729=0,"",COUNTIF(A$23:A728,"&gt;0")+1)</f>
        <v/>
      </c>
      <c r="B729" s="312"/>
      <c r="C729" s="63" t="s">
        <v>587</v>
      </c>
      <c r="D729" s="64" t="s">
        <v>947</v>
      </c>
      <c r="E729" s="65"/>
      <c r="F729" s="65"/>
      <c r="G729" s="653">
        <v>5021353014761</v>
      </c>
      <c r="H729" s="66" t="s">
        <v>945</v>
      </c>
      <c r="I729" s="67"/>
      <c r="J729" s="67"/>
      <c r="K729" s="68">
        <f>IF(VLOOKUP(D729,A!A$1:O$767,11,FALSE)="y",1,0)</f>
        <v>1</v>
      </c>
      <c r="L729" s="68">
        <f>IF(VLOOKUP(D729,A!A$1:O$767,12,FALSE)="y",1,0)</f>
        <v>1</v>
      </c>
      <c r="M729" s="149" t="str">
        <f>IF(VLOOKUP(D729,A!A$1:O$767,10,FALSE)="y","NEW","")</f>
        <v/>
      </c>
      <c r="N729" s="150">
        <f>VLOOKUP(D729,A!A$1:O$767,13,FALSE)</f>
        <v>0</v>
      </c>
      <c r="O729" s="313">
        <v>4</v>
      </c>
      <c r="P729" s="10" t="str">
        <f>VLOOKUP(D729,A!A$1:O$767,9,FALSE)</f>
        <v>Y</v>
      </c>
      <c r="Q729" s="10" t="s">
        <v>963</v>
      </c>
      <c r="R729" s="10">
        <f t="shared" si="79"/>
        <v>0</v>
      </c>
      <c r="S729" s="10">
        <f>VLOOKUP(D729,A!A$1:AK$767,32,FALSE)</f>
        <v>30</v>
      </c>
      <c r="T729" s="10">
        <v>0.125</v>
      </c>
      <c r="U729" s="10">
        <f t="shared" si="80"/>
        <v>0</v>
      </c>
      <c r="X729" s="10"/>
    </row>
    <row r="730" spans="1:24" ht="11.25" customHeight="1" x14ac:dyDescent="0.25">
      <c r="A730" s="1" t="str">
        <f>IF(R730=0,"",COUNTIF(A$23:A729,"&gt;0")+1)</f>
        <v/>
      </c>
      <c r="B730" s="312"/>
      <c r="C730" s="63" t="s">
        <v>587</v>
      </c>
      <c r="D730" s="64" t="s">
        <v>948</v>
      </c>
      <c r="E730" s="65"/>
      <c r="F730" s="65"/>
      <c r="G730" s="653">
        <v>5021353014785</v>
      </c>
      <c r="H730" s="66" t="s">
        <v>945</v>
      </c>
      <c r="I730" s="67"/>
      <c r="J730" s="67"/>
      <c r="K730" s="68">
        <f>IF(VLOOKUP(D730,A!A$1:O$767,11,FALSE)="y",1,0)</f>
        <v>1</v>
      </c>
      <c r="L730" s="68">
        <f>IF(VLOOKUP(D730,A!A$1:O$767,12,FALSE)="y",1,0)</f>
        <v>0</v>
      </c>
      <c r="M730" s="149" t="str">
        <f>IF(VLOOKUP(D730,A!A$1:O$767,10,FALSE)="y","NEW","")</f>
        <v/>
      </c>
      <c r="N730" s="150">
        <f>VLOOKUP(D730,A!A$1:O$767,13,FALSE)</f>
        <v>0</v>
      </c>
      <c r="O730" s="313">
        <v>4</v>
      </c>
      <c r="P730" s="10" t="str">
        <f>VLOOKUP(D730,A!A$1:O$767,9,FALSE)</f>
        <v>y</v>
      </c>
      <c r="Q730" s="10" t="s">
        <v>963</v>
      </c>
      <c r="R730" s="10">
        <f t="shared" si="79"/>
        <v>0</v>
      </c>
      <c r="S730" s="10">
        <f>VLOOKUP(D730,A!A$1:AK$767,32,FALSE)</f>
        <v>30</v>
      </c>
      <c r="T730" s="10">
        <v>0.125</v>
      </c>
      <c r="U730" s="10">
        <f t="shared" si="80"/>
        <v>0</v>
      </c>
      <c r="X730" s="10"/>
    </row>
    <row r="731" spans="1:24" ht="11.25" customHeight="1" x14ac:dyDescent="0.25">
      <c r="A731" s="1" t="str">
        <f>IF(R731=0,"",COUNTIF(A$23:A730,"&gt;0")+1)</f>
        <v/>
      </c>
      <c r="B731" s="312"/>
      <c r="C731" s="63" t="s">
        <v>587</v>
      </c>
      <c r="D731" s="64" t="s">
        <v>949</v>
      </c>
      <c r="E731" s="65"/>
      <c r="F731" s="65"/>
      <c r="G731" s="653">
        <v>5021353014778</v>
      </c>
      <c r="H731" s="66" t="s">
        <v>945</v>
      </c>
      <c r="I731" s="67"/>
      <c r="J731" s="67"/>
      <c r="K731" s="68">
        <f>IF(VLOOKUP(D731,A!A$1:O$767,11,FALSE)="y",1,0)</f>
        <v>1</v>
      </c>
      <c r="L731" s="68">
        <f>IF(VLOOKUP(D731,A!A$1:O$767,12,FALSE)="y",1,0)</f>
        <v>1</v>
      </c>
      <c r="M731" s="149" t="str">
        <f>IF(VLOOKUP(D731,A!A$1:O$767,10,FALSE)="y","NEW","")</f>
        <v/>
      </c>
      <c r="N731" s="150">
        <f>VLOOKUP(D731,A!A$1:O$767,13,FALSE)</f>
        <v>0</v>
      </c>
      <c r="O731" s="313">
        <v>4</v>
      </c>
      <c r="P731" s="10" t="str">
        <f>VLOOKUP(D731,A!A$1:O$767,9,FALSE)</f>
        <v>y</v>
      </c>
      <c r="Q731" s="10" t="s">
        <v>963</v>
      </c>
      <c r="R731" s="10">
        <f t="shared" si="79"/>
        <v>0</v>
      </c>
      <c r="S731" s="10">
        <f>VLOOKUP(D731,A!A$1:AK$767,32,FALSE)</f>
        <v>30</v>
      </c>
      <c r="T731" s="10">
        <v>0.125</v>
      </c>
      <c r="U731" s="10">
        <f t="shared" si="80"/>
        <v>0</v>
      </c>
      <c r="X731" s="10"/>
    </row>
    <row r="732" spans="1:24" ht="11.25" customHeight="1" x14ac:dyDescent="0.25">
      <c r="A732" s="1" t="str">
        <f>IF(R732=0,"",COUNTIF(A$23:A731,"&gt;0")+1)</f>
        <v/>
      </c>
      <c r="B732" s="312"/>
      <c r="C732" s="63" t="s">
        <v>587</v>
      </c>
      <c r="D732" s="64" t="s">
        <v>950</v>
      </c>
      <c r="E732" s="65"/>
      <c r="F732" s="65"/>
      <c r="G732" s="653">
        <v>5021353014792</v>
      </c>
      <c r="H732" s="66" t="s">
        <v>945</v>
      </c>
      <c r="I732" s="67"/>
      <c r="J732" s="67"/>
      <c r="K732" s="68">
        <f>IF(VLOOKUP(D732,A!A$1:O$767,11,FALSE)="y",1,0)</f>
        <v>1</v>
      </c>
      <c r="L732" s="68">
        <f>IF(VLOOKUP(D732,A!A$1:O$767,12,FALSE)="y",1,0)</f>
        <v>1</v>
      </c>
      <c r="M732" s="92"/>
      <c r="N732" s="67">
        <f>VLOOKUP(D732,A!A$1:O$767,13,FALSE)</f>
        <v>0</v>
      </c>
      <c r="O732" s="313">
        <v>4</v>
      </c>
      <c r="P732" s="10" t="str">
        <f>VLOOKUP(D732,A!A$1:O$767,9,FALSE)</f>
        <v>y</v>
      </c>
      <c r="Q732" s="10" t="s">
        <v>963</v>
      </c>
      <c r="R732" s="10">
        <f t="shared" si="79"/>
        <v>0</v>
      </c>
      <c r="S732" s="10">
        <f>VLOOKUP(D732,A!A$1:AK$767,32,FALSE)</f>
        <v>30</v>
      </c>
      <c r="T732" s="10">
        <v>0.125</v>
      </c>
      <c r="U732" s="10">
        <f t="shared" si="80"/>
        <v>0</v>
      </c>
      <c r="X732" s="10"/>
    </row>
    <row r="733" spans="1:24" ht="11.25" customHeight="1" thickBot="1" x14ac:dyDescent="0.3">
      <c r="A733" s="1" t="str">
        <f>IF(R733=0,"",COUNTIF(A$23:A732,"&gt;0")+1)</f>
        <v/>
      </c>
      <c r="B733" s="312"/>
      <c r="C733" s="63" t="s">
        <v>587</v>
      </c>
      <c r="D733" s="64" t="s">
        <v>951</v>
      </c>
      <c r="E733" s="65"/>
      <c r="F733" s="65"/>
      <c r="G733" s="653">
        <v>5021353014938</v>
      </c>
      <c r="H733" s="66" t="s">
        <v>945</v>
      </c>
      <c r="I733" s="67"/>
      <c r="J733" s="67"/>
      <c r="K733" s="68">
        <f>IF(VLOOKUP(D733,A!A$1:O$767,11,FALSE)="y",1,0)</f>
        <v>1</v>
      </c>
      <c r="L733" s="68">
        <f>IF(VLOOKUP(D733,A!A$1:O$767,12,FALSE)="y",1,0)</f>
        <v>1</v>
      </c>
      <c r="M733" s="92"/>
      <c r="N733" s="67">
        <f>VLOOKUP(D733,A!A$1:O$767,13,FALSE)</f>
        <v>0</v>
      </c>
      <c r="O733" s="313">
        <v>4</v>
      </c>
      <c r="P733" s="10" t="str">
        <f>VLOOKUP(D733,A!A$1:O$767,9,FALSE)</f>
        <v>y</v>
      </c>
      <c r="Q733" s="10" t="s">
        <v>963</v>
      </c>
      <c r="R733" s="10">
        <f t="shared" si="79"/>
        <v>0</v>
      </c>
      <c r="S733" s="10">
        <f>VLOOKUP(D733,A!A$1:AK$767,32,FALSE)</f>
        <v>30</v>
      </c>
      <c r="T733" s="10">
        <v>0.125</v>
      </c>
      <c r="U733" s="10">
        <f t="shared" si="80"/>
        <v>0</v>
      </c>
      <c r="X733" s="10"/>
    </row>
    <row r="734" spans="1:24" ht="12" hidden="1" customHeight="1" thickBot="1" x14ac:dyDescent="0.3">
      <c r="A734" s="1" t="str">
        <f>IF(R734=0,"",COUNTIF(A$23:A733,"&gt;0")+1)</f>
        <v/>
      </c>
      <c r="B734" s="316"/>
      <c r="C734" s="317" t="s">
        <v>587</v>
      </c>
      <c r="D734" s="318" t="s">
        <v>964</v>
      </c>
      <c r="E734" s="319"/>
      <c r="F734" s="319"/>
      <c r="G734" s="320"/>
      <c r="H734" s="322" t="s">
        <v>945</v>
      </c>
      <c r="I734" s="355"/>
      <c r="J734" s="355"/>
      <c r="K734" s="356">
        <f>IF(VLOOKUP(D734,A!A$1:O$767,11,FALSE)="y",1,0)</f>
        <v>0</v>
      </c>
      <c r="L734" s="356">
        <f>IF(VLOOKUP(D734,A!A$1:O$767,12,FALSE)="y",1,0)</f>
        <v>0</v>
      </c>
      <c r="M734" s="357" t="str">
        <f>IF(VLOOKUP(D734,A!A$1:O$767,10,FALSE)="y","NEW","")</f>
        <v/>
      </c>
      <c r="N734" s="355">
        <f>VLOOKUP(D734,A!A$1:O$767,13,FALSE)</f>
        <v>0</v>
      </c>
      <c r="O734" s="324">
        <v>4</v>
      </c>
      <c r="P734" s="10">
        <f>VLOOKUP(D734,A!A$1:O$767,9,FALSE)</f>
        <v>0</v>
      </c>
      <c r="Q734" s="10" t="s">
        <v>963</v>
      </c>
      <c r="R734" s="10">
        <f t="shared" si="79"/>
        <v>0</v>
      </c>
      <c r="S734" s="10">
        <f>VLOOKUP(D734,A!A$1:AK$767,32,FALSE)</f>
        <v>0</v>
      </c>
      <c r="T734" s="10">
        <v>0.125</v>
      </c>
      <c r="U734" s="10">
        <f t="shared" si="80"/>
        <v>0</v>
      </c>
      <c r="X734" s="10"/>
    </row>
    <row r="735" spans="1:24" ht="12.75" customHeight="1" x14ac:dyDescent="0.25">
      <c r="A735" s="1" t="str">
        <f>IF(R735=0,"",COUNTIF(A$23:A734,"&gt;0")+1)</f>
        <v/>
      </c>
      <c r="B735" s="256">
        <f>SUM(B728:B734)</f>
        <v>0</v>
      </c>
      <c r="C735" s="358" t="s">
        <v>587</v>
      </c>
      <c r="D735" s="325" t="s">
        <v>965</v>
      </c>
      <c r="E735" s="300"/>
      <c r="F735" s="300"/>
      <c r="G735" s="300"/>
      <c r="H735" s="300"/>
      <c r="I735" s="300"/>
      <c r="J735" s="300"/>
      <c r="K735" s="300"/>
      <c r="L735" s="300"/>
      <c r="M735" s="326"/>
      <c r="N735" s="300"/>
      <c r="O735" s="327"/>
      <c r="P735" s="75"/>
      <c r="Q735" s="10" t="s">
        <v>963</v>
      </c>
      <c r="R735" s="10">
        <f t="shared" si="79"/>
        <v>0</v>
      </c>
      <c r="S735" s="10"/>
      <c r="T735" s="10"/>
      <c r="U735" s="10"/>
      <c r="W735" s="1"/>
      <c r="X735" s="10"/>
    </row>
    <row r="736" spans="1:24" ht="6.75" customHeight="1" thickBot="1" x14ac:dyDescent="0.3">
      <c r="A736" s="1" t="str">
        <f>IF(R736=0,"",COUNTIF(A$23:A735,"&gt;0")+1)</f>
        <v/>
      </c>
      <c r="P736" s="10"/>
      <c r="Q736" s="10"/>
      <c r="R736" s="10"/>
      <c r="S736" s="10"/>
      <c r="T736" s="10"/>
      <c r="U736" s="10"/>
      <c r="W736" s="1"/>
      <c r="X736" s="10"/>
    </row>
    <row r="737" spans="1:24" ht="9" customHeight="1" thickBot="1" x14ac:dyDescent="0.3">
      <c r="A737" s="1" t="str">
        <f>IF(R737=0,"",COUNTIF(A$23:A736,"&gt;0")+1)</f>
        <v/>
      </c>
      <c r="B737" s="1245" t="s">
        <v>41</v>
      </c>
      <c r="C737" s="1245"/>
      <c r="D737" s="1219" t="s">
        <v>1299</v>
      </c>
      <c r="E737" s="1219"/>
      <c r="F737" s="1219"/>
      <c r="G737" s="1219"/>
      <c r="H737" s="1294" t="s">
        <v>584</v>
      </c>
      <c r="I737" s="328" t="s">
        <v>966</v>
      </c>
      <c r="J737" s="328"/>
      <c r="K737" s="328"/>
      <c r="L737" s="328"/>
      <c r="M737" s="328"/>
      <c r="N737" s="328"/>
      <c r="O737" s="329"/>
      <c r="P737" s="10"/>
      <c r="Q737" s="10"/>
      <c r="R737" s="10"/>
      <c r="S737" s="10"/>
      <c r="T737" s="10"/>
      <c r="U737" s="10"/>
      <c r="W737" s="1"/>
      <c r="X737" s="10"/>
    </row>
    <row r="738" spans="1:24" ht="9" customHeight="1" thickBot="1" x14ac:dyDescent="0.3">
      <c r="A738" s="1" t="str">
        <f>IF(R738=0,"",COUNTIF(A$23:A737,"&gt;0")+1)</f>
        <v/>
      </c>
      <c r="B738" s="1220" t="s">
        <v>586</v>
      </c>
      <c r="C738" s="1220"/>
      <c r="D738" s="1219"/>
      <c r="E738" s="1219"/>
      <c r="F738" s="1219"/>
      <c r="G738" s="1219"/>
      <c r="H738" s="1294"/>
      <c r="I738" s="330"/>
      <c r="J738" s="331"/>
      <c r="K738" s="331"/>
      <c r="L738" s="331"/>
      <c r="M738" s="330"/>
      <c r="N738" s="331"/>
      <c r="O738" s="332" t="s">
        <v>48</v>
      </c>
      <c r="P738" s="10"/>
      <c r="Q738" s="10"/>
      <c r="R738" s="10"/>
      <c r="S738" s="10"/>
      <c r="T738" s="10"/>
      <c r="U738" s="10"/>
      <c r="W738" s="1"/>
      <c r="X738" s="10"/>
    </row>
    <row r="739" spans="1:24" ht="12.75" hidden="1" customHeight="1" x14ac:dyDescent="0.25">
      <c r="A739" s="1" t="str">
        <f>IF(R739=0,"",COUNTIF(A$23:A738,"&gt;0")+1)</f>
        <v/>
      </c>
      <c r="B739" s="333"/>
      <c r="C739" s="63" t="s">
        <v>587</v>
      </c>
      <c r="D739" s="335" t="s">
        <v>967</v>
      </c>
      <c r="E739" s="336"/>
      <c r="F739" s="336"/>
      <c r="G739" s="338" t="s">
        <v>945</v>
      </c>
      <c r="H739" s="338"/>
      <c r="I739" s="361"/>
      <c r="J739" s="150"/>
      <c r="K739" s="68">
        <f>IF(VLOOKUP(D739,A!A$1:O$767,11,FALSE)="y",1,0)</f>
        <v>0</v>
      </c>
      <c r="L739" s="68">
        <f>IF(VLOOKUP(D739,A!A$1:O$767,12,FALSE)="y",1,0)</f>
        <v>0</v>
      </c>
      <c r="M739" s="149"/>
      <c r="N739" s="150">
        <f>VLOOKUP(D739,A!A$1:O$767,13,FALSE)</f>
        <v>0</v>
      </c>
      <c r="O739" s="343">
        <v>4</v>
      </c>
      <c r="P739" s="10">
        <f>VLOOKUP(D739,A!A$1:O$767,9,FALSE)</f>
        <v>0</v>
      </c>
      <c r="Q739" s="10" t="s">
        <v>968</v>
      </c>
      <c r="R739" s="10">
        <f t="shared" ref="R739:R788" si="81">B739</f>
        <v>0</v>
      </c>
      <c r="S739" s="10">
        <f>VLOOKUP(D739,A!A$1:AK$767,32,FALSE)</f>
        <v>35</v>
      </c>
      <c r="T739" s="10">
        <v>0.125</v>
      </c>
      <c r="U739" s="10">
        <f t="shared" ref="U739:U786" si="82">T739*B739</f>
        <v>0</v>
      </c>
      <c r="W739" s="1"/>
      <c r="X739" s="10"/>
    </row>
    <row r="740" spans="1:24" ht="11.25" hidden="1" customHeight="1" x14ac:dyDescent="0.25">
      <c r="A740" s="1" t="str">
        <f>IF(R740=0,"",COUNTIF(A$23:A739,"&gt;0")+1)</f>
        <v/>
      </c>
      <c r="B740" s="312"/>
      <c r="C740" s="63" t="s">
        <v>587</v>
      </c>
      <c r="D740" s="64" t="s">
        <v>969</v>
      </c>
      <c r="E740" s="65"/>
      <c r="F740" s="208" t="s">
        <v>1347</v>
      </c>
      <c r="G740" s="66" t="s">
        <v>970</v>
      </c>
      <c r="H740" s="66"/>
      <c r="I740" s="376"/>
      <c r="J740" s="67"/>
      <c r="K740" s="68">
        <f>IF(VLOOKUP(D740,A!A$1:O$767,11,FALSE)="y",1,0)</f>
        <v>0</v>
      </c>
      <c r="L740" s="68">
        <f>IF(VLOOKUP(D740,A!A$1:O$767,12,FALSE)="y",1,0)</f>
        <v>0</v>
      </c>
      <c r="M740" s="149"/>
      <c r="N740" s="150">
        <f>VLOOKUP(D740,A!A$1:O$767,13,FALSE)</f>
        <v>0</v>
      </c>
      <c r="O740" s="313">
        <v>4</v>
      </c>
      <c r="P740" s="10">
        <f>VLOOKUP(D740,A!A$1:O$767,9,FALSE)</f>
        <v>0</v>
      </c>
      <c r="Q740" s="10" t="s">
        <v>968</v>
      </c>
      <c r="R740" s="10">
        <f t="shared" si="81"/>
        <v>0</v>
      </c>
      <c r="S740" s="10">
        <f>VLOOKUP(D740,A!A$1:AK$767,32,FALSE)</f>
        <v>35</v>
      </c>
      <c r="T740" s="10">
        <v>0.125</v>
      </c>
      <c r="U740" s="10">
        <f t="shared" si="82"/>
        <v>0</v>
      </c>
      <c r="W740" s="1"/>
      <c r="X740" s="10"/>
    </row>
    <row r="741" spans="1:24" ht="11.25" hidden="1" customHeight="1" x14ac:dyDescent="0.25">
      <c r="A741" s="1" t="str">
        <f>IF(R741=0,"",COUNTIF(A$23:A740,"&gt;0")+1)</f>
        <v/>
      </c>
      <c r="B741" s="314"/>
      <c r="C741" s="577" t="s">
        <v>587</v>
      </c>
      <c r="D741" s="602" t="s">
        <v>971</v>
      </c>
      <c r="E741" s="217"/>
      <c r="F741" s="781" t="s">
        <v>1347</v>
      </c>
      <c r="G741" s="579" t="s">
        <v>972</v>
      </c>
      <c r="H741" s="579"/>
      <c r="I741" s="782"/>
      <c r="J741" s="219"/>
      <c r="K741" s="351">
        <f>IF(VLOOKUP(D741,A!A$1:O$767,11,FALSE)="y",1,0)</f>
        <v>0</v>
      </c>
      <c r="L741" s="351">
        <f>IF(VLOOKUP(D741,A!A$1:O$767,12,FALSE)="y",1,0)</f>
        <v>0</v>
      </c>
      <c r="M741" s="783"/>
      <c r="N741" s="528">
        <f>VLOOKUP(D741,A!A$1:O$767,13,FALSE)</f>
        <v>0</v>
      </c>
      <c r="O741" s="581">
        <v>4</v>
      </c>
      <c r="P741" s="10">
        <f>VLOOKUP(D741,A!A$1:O$767,9,FALSE)</f>
        <v>0</v>
      </c>
      <c r="Q741" s="10" t="s">
        <v>968</v>
      </c>
      <c r="R741" s="10">
        <f t="shared" si="81"/>
        <v>0</v>
      </c>
      <c r="S741" s="10">
        <f>VLOOKUP(D741,A!A$1:AK$767,32,FALSE)</f>
        <v>35</v>
      </c>
      <c r="T741" s="10">
        <v>0.125</v>
      </c>
      <c r="U741" s="10">
        <f t="shared" si="82"/>
        <v>0</v>
      </c>
      <c r="W741" s="1"/>
      <c r="X741" s="10"/>
    </row>
    <row r="742" spans="1:24" ht="11.25" customHeight="1" x14ac:dyDescent="0.25">
      <c r="A742" s="1" t="str">
        <f>IF(R742=0,"",COUNTIF(A$23:A741,"&gt;0")+1)</f>
        <v/>
      </c>
      <c r="B742" s="784"/>
      <c r="C742" s="785" t="s">
        <v>587</v>
      </c>
      <c r="D742" s="786" t="s">
        <v>1039</v>
      </c>
      <c r="E742" s="787"/>
      <c r="F742" s="788" t="s">
        <v>1348</v>
      </c>
      <c r="G742" s="789" t="s">
        <v>1040</v>
      </c>
      <c r="H742" s="789"/>
      <c r="I742" s="790"/>
      <c r="J742" s="791"/>
      <c r="K742" s="792">
        <f>IF(VLOOKUP(D742,A!A$1:O$767,11,FALSE)="y",1,0)</f>
        <v>1</v>
      </c>
      <c r="L742" s="792">
        <f>IF(VLOOKUP(D742,A!A$1:O$767,12,FALSE)="y",1,0)</f>
        <v>0</v>
      </c>
      <c r="M742" s="793"/>
      <c r="N742" s="791">
        <f>VLOOKUP(D742,A!A$1:O$767,13,FALSE)</f>
        <v>0</v>
      </c>
      <c r="O742" s="794">
        <v>4</v>
      </c>
      <c r="P742" s="10" t="str">
        <f>VLOOKUP(D742,A!A$1:O$767,9,FALSE)</f>
        <v>y</v>
      </c>
      <c r="Q742" s="10" t="s">
        <v>968</v>
      </c>
      <c r="R742" s="10">
        <f>B742</f>
        <v>0</v>
      </c>
      <c r="S742" s="10">
        <f>VLOOKUP(D742,A!A$1:AK$767,32,FALSE)</f>
        <v>35</v>
      </c>
      <c r="T742" s="10">
        <v>0.125</v>
      </c>
      <c r="U742" s="10">
        <f>T742*B742</f>
        <v>0</v>
      </c>
      <c r="W742" s="1"/>
      <c r="X742" s="10"/>
    </row>
    <row r="743" spans="1:24" ht="12" customHeight="1" x14ac:dyDescent="0.25">
      <c r="A743" s="1" t="str">
        <f>IF(R743=0,"",COUNTIF(A$23:A742,"&gt;0")+1)</f>
        <v/>
      </c>
      <c r="B743" s="784"/>
      <c r="C743" s="785" t="s">
        <v>587</v>
      </c>
      <c r="D743" s="786" t="s">
        <v>973</v>
      </c>
      <c r="E743" s="787"/>
      <c r="F743" s="788" t="s">
        <v>1348</v>
      </c>
      <c r="G743" s="789" t="s">
        <v>974</v>
      </c>
      <c r="H743" s="789"/>
      <c r="I743" s="790"/>
      <c r="J743" s="791"/>
      <c r="K743" s="792">
        <f>IF(VLOOKUP(D743,A!A$1:O$767,11,FALSE)="y",1,0)</f>
        <v>1</v>
      </c>
      <c r="L743" s="792">
        <f>IF(VLOOKUP(D743,A!A$1:O$767,12,FALSE)="y",1,0)</f>
        <v>1</v>
      </c>
      <c r="M743" s="793"/>
      <c r="N743" s="791">
        <f>VLOOKUP(D743,A!A$1:O$767,13,FALSE)</f>
        <v>0</v>
      </c>
      <c r="O743" s="794">
        <v>4</v>
      </c>
      <c r="P743" s="10" t="str">
        <f>VLOOKUP(D743,A!A$1:O$767,9,FALSE)</f>
        <v>y</v>
      </c>
      <c r="Q743" s="10" t="s">
        <v>968</v>
      </c>
      <c r="R743" s="10">
        <f t="shared" si="81"/>
        <v>0</v>
      </c>
      <c r="S743" s="10">
        <f>VLOOKUP(D743,A!A$1:AK$767,32,FALSE)</f>
        <v>35</v>
      </c>
      <c r="T743" s="10">
        <v>0.125</v>
      </c>
      <c r="U743" s="10">
        <f t="shared" si="82"/>
        <v>0</v>
      </c>
      <c r="W743" s="1"/>
      <c r="X743" s="10"/>
    </row>
    <row r="744" spans="1:24" ht="11.25" hidden="1" customHeight="1" x14ac:dyDescent="0.25">
      <c r="A744" s="1" t="str">
        <f>IF(R744=0,"",COUNTIF(A$23:A743,"&gt;0")+1)</f>
        <v/>
      </c>
      <c r="B744" s="784"/>
      <c r="C744" s="785" t="s">
        <v>587</v>
      </c>
      <c r="D744" s="786" t="s">
        <v>1408</v>
      </c>
      <c r="E744" s="787"/>
      <c r="F744" s="799" t="s">
        <v>1399</v>
      </c>
      <c r="G744" s="789" t="s">
        <v>1409</v>
      </c>
      <c r="H744" s="789"/>
      <c r="I744" s="790"/>
      <c r="J744" s="791"/>
      <c r="K744" s="792">
        <f>IF(VLOOKUP(D744,A!A$1:O$767,11,FALSE)="y",1,0)</f>
        <v>0</v>
      </c>
      <c r="L744" s="792"/>
      <c r="M744" s="793"/>
      <c r="N744" s="791"/>
      <c r="O744" s="794">
        <v>4</v>
      </c>
      <c r="P744" s="10">
        <f>VLOOKUP(D744,A!A$1:O$767,9,FALSE)</f>
        <v>0</v>
      </c>
      <c r="Q744" s="10" t="s">
        <v>968</v>
      </c>
      <c r="R744" s="10">
        <f>B744</f>
        <v>0</v>
      </c>
      <c r="S744" s="10">
        <f>VLOOKUP(D744,A!A$1:AK$767,32,FALSE)</f>
        <v>35</v>
      </c>
      <c r="T744" s="10">
        <v>0.125</v>
      </c>
      <c r="U744" s="10">
        <f>T744*B744</f>
        <v>0</v>
      </c>
      <c r="W744" s="1"/>
      <c r="X744" s="10"/>
    </row>
    <row r="745" spans="1:24" ht="12" hidden="1" customHeight="1" x14ac:dyDescent="0.25">
      <c r="A745" s="1" t="str">
        <f>IF(R745=0,"",COUNTIF(A$23:A744,"&gt;0")+1)</f>
        <v/>
      </c>
      <c r="B745" s="784"/>
      <c r="C745" s="785" t="s">
        <v>587</v>
      </c>
      <c r="D745" s="786" t="s">
        <v>975</v>
      </c>
      <c r="E745" s="787"/>
      <c r="F745" s="788"/>
      <c r="G745" s="789"/>
      <c r="H745" s="789"/>
      <c r="I745" s="790"/>
      <c r="J745" s="791"/>
      <c r="K745" s="792">
        <f>IF(VLOOKUP(D745,A!A$1:O$767,11,FALSE)="y",1,0)</f>
        <v>0</v>
      </c>
      <c r="L745" s="792"/>
      <c r="M745" s="793"/>
      <c r="N745" s="791">
        <f>VLOOKUP(D745,A!A$1:O$767,13,FALSE)</f>
        <v>0</v>
      </c>
      <c r="O745" s="794">
        <v>4</v>
      </c>
      <c r="P745" s="10">
        <f>VLOOKUP(D745,A!A$1:O$767,9,FALSE)</f>
        <v>0</v>
      </c>
      <c r="Q745" s="10" t="s">
        <v>968</v>
      </c>
      <c r="R745" s="10">
        <f t="shared" si="81"/>
        <v>0</v>
      </c>
      <c r="S745" s="10">
        <f>VLOOKUP(D745,A!A$1:AK$767,32,FALSE)</f>
        <v>35</v>
      </c>
      <c r="T745" s="10">
        <v>0.125</v>
      </c>
      <c r="U745" s="10">
        <f t="shared" si="82"/>
        <v>0</v>
      </c>
      <c r="W745" s="1"/>
      <c r="X745" s="10"/>
    </row>
    <row r="746" spans="1:24" ht="12" customHeight="1" x14ac:dyDescent="0.25">
      <c r="A746" s="1" t="str">
        <f>IF(R746=0,"",COUNTIF(A$23:A745,"&gt;0")+1)</f>
        <v/>
      </c>
      <c r="B746" s="784"/>
      <c r="C746" s="785" t="s">
        <v>587</v>
      </c>
      <c r="D746" s="527" t="s">
        <v>1469</v>
      </c>
      <c r="E746" s="787"/>
      <c r="F746" s="788" t="s">
        <v>1348</v>
      </c>
      <c r="G746" s="789" t="s">
        <v>1433</v>
      </c>
      <c r="H746" s="789"/>
      <c r="I746" s="790"/>
      <c r="J746" s="791"/>
      <c r="K746" s="792">
        <f>IF(VLOOKUP(D746,A!A$1:O$767,11,FALSE)="y",1,0)</f>
        <v>1</v>
      </c>
      <c r="L746" s="792"/>
      <c r="M746" s="793"/>
      <c r="N746" s="791"/>
      <c r="O746" s="794">
        <v>4</v>
      </c>
      <c r="P746" s="10" t="str">
        <f>VLOOKUP(D746,A!A$1:O$767,9,FALSE)</f>
        <v>y</v>
      </c>
      <c r="Q746" s="10" t="s">
        <v>968</v>
      </c>
      <c r="R746" s="10">
        <f>B746</f>
        <v>0</v>
      </c>
      <c r="S746" s="10">
        <v>35</v>
      </c>
      <c r="T746" s="10">
        <v>0.125</v>
      </c>
      <c r="U746" s="10">
        <f>T746*B746</f>
        <v>0</v>
      </c>
      <c r="W746" s="1"/>
      <c r="X746" s="10"/>
    </row>
    <row r="747" spans="1:24" ht="11.25" hidden="1" customHeight="1" x14ac:dyDescent="0.25">
      <c r="A747" s="1" t="str">
        <f>IF(R747=0,"",COUNTIF(A$23:A746,"&gt;0")+1)</f>
        <v/>
      </c>
      <c r="B747" s="784"/>
      <c r="C747" s="785" t="s">
        <v>587</v>
      </c>
      <c r="D747" s="786" t="s">
        <v>976</v>
      </c>
      <c r="E747" s="787"/>
      <c r="F747" s="788" t="s">
        <v>1348</v>
      </c>
      <c r="G747" s="789" t="s">
        <v>977</v>
      </c>
      <c r="H747" s="789"/>
      <c r="I747" s="790"/>
      <c r="J747" s="791"/>
      <c r="K747" s="792">
        <f>IF(VLOOKUP(D747,A!A$1:O$767,11,FALSE)="y",1,0)</f>
        <v>0</v>
      </c>
      <c r="L747" s="792">
        <f>IF(VLOOKUP(D747,A!A$1:O$767,12,FALSE)="y",1,0)</f>
        <v>0</v>
      </c>
      <c r="M747" s="793"/>
      <c r="N747" s="791">
        <f>VLOOKUP(D747,A!A$1:O$767,13,FALSE)</f>
        <v>0</v>
      </c>
      <c r="O747" s="794">
        <v>4</v>
      </c>
      <c r="P747" s="10">
        <f>VLOOKUP(D747,A!A$1:O$767,9,FALSE)</f>
        <v>0</v>
      </c>
      <c r="Q747" s="10" t="s">
        <v>968</v>
      </c>
      <c r="R747" s="10">
        <f>B747</f>
        <v>0</v>
      </c>
      <c r="S747" s="10">
        <f>VLOOKUP(D747,A!A$1:AK$767,32,FALSE)</f>
        <v>35</v>
      </c>
      <c r="T747" s="10">
        <v>0.125</v>
      </c>
      <c r="U747" s="10">
        <f>T747*B747</f>
        <v>0</v>
      </c>
      <c r="W747" s="1"/>
      <c r="X747" s="10"/>
    </row>
    <row r="748" spans="1:24" ht="11.25" hidden="1" customHeight="1" x14ac:dyDescent="0.25">
      <c r="A748" s="1" t="str">
        <f>IF(R748=0,"",COUNTIF(A$23:A747,"&gt;0")+1)</f>
        <v/>
      </c>
      <c r="B748" s="784"/>
      <c r="C748" s="785" t="s">
        <v>587</v>
      </c>
      <c r="D748" s="786" t="s">
        <v>978</v>
      </c>
      <c r="E748" s="787"/>
      <c r="F748" s="795" t="s">
        <v>1349</v>
      </c>
      <c r="G748" s="789" t="s">
        <v>979</v>
      </c>
      <c r="H748" s="789"/>
      <c r="I748" s="790"/>
      <c r="J748" s="791"/>
      <c r="K748" s="792">
        <f>IF(VLOOKUP(D748,A!A$1:O$767,11,FALSE)="y",1,0)</f>
        <v>0</v>
      </c>
      <c r="L748" s="792">
        <f>IF(VLOOKUP(D748,A!A$1:O$767,12,FALSE)="y",1,0)</f>
        <v>0</v>
      </c>
      <c r="M748" s="793"/>
      <c r="N748" s="791">
        <f>VLOOKUP(D748,A!A$1:O$767,13,FALSE)</f>
        <v>0</v>
      </c>
      <c r="O748" s="794">
        <v>4</v>
      </c>
      <c r="P748" s="10">
        <f>VLOOKUP(D748,A!A$1:O$767,9,FALSE)</f>
        <v>0</v>
      </c>
      <c r="Q748" s="10" t="s">
        <v>968</v>
      </c>
      <c r="R748" s="10">
        <f t="shared" si="81"/>
        <v>0</v>
      </c>
      <c r="S748" s="10">
        <f>VLOOKUP(D748,A!A$1:AK$767,32,FALSE)</f>
        <v>35</v>
      </c>
      <c r="T748" s="10">
        <v>0.125</v>
      </c>
      <c r="U748" s="10">
        <f t="shared" si="82"/>
        <v>0</v>
      </c>
      <c r="W748" s="1"/>
      <c r="X748" s="10"/>
    </row>
    <row r="749" spans="1:24" ht="11.25" customHeight="1" x14ac:dyDescent="0.25">
      <c r="A749" s="1" t="str">
        <f>IF(R749=0,"",COUNTIF(A$23:A748,"&gt;0")+1)</f>
        <v/>
      </c>
      <c r="B749" s="784"/>
      <c r="C749" s="785" t="s">
        <v>587</v>
      </c>
      <c r="D749" s="786" t="s">
        <v>980</v>
      </c>
      <c r="E749" s="787"/>
      <c r="F749" s="795" t="s">
        <v>1349</v>
      </c>
      <c r="G749" s="789" t="s">
        <v>1295</v>
      </c>
      <c r="H749" s="789"/>
      <c r="I749" s="790"/>
      <c r="J749" s="791"/>
      <c r="K749" s="792">
        <f>IF(VLOOKUP(D749,A!A$1:O$767,11,FALSE)="y",1,0)</f>
        <v>1</v>
      </c>
      <c r="L749" s="792">
        <f>IF(VLOOKUP(D749,A!A$1:O$767,12,FALSE)="y",1,0)</f>
        <v>0</v>
      </c>
      <c r="M749" s="793"/>
      <c r="N749" s="791">
        <f>VLOOKUP(D749,A!A$1:O$767,13,FALSE)</f>
        <v>0</v>
      </c>
      <c r="O749" s="794">
        <v>4</v>
      </c>
      <c r="P749" s="10" t="str">
        <f>VLOOKUP(D749,A!A$1:O$767,9,FALSE)</f>
        <v>y</v>
      </c>
      <c r="Q749" s="10" t="s">
        <v>968</v>
      </c>
      <c r="R749" s="10">
        <f t="shared" si="81"/>
        <v>0</v>
      </c>
      <c r="S749" s="10">
        <f>VLOOKUP(D749,A!A$1:AK$767,32,FALSE)</f>
        <v>35</v>
      </c>
      <c r="T749" s="10">
        <v>0.125</v>
      </c>
      <c r="U749" s="10">
        <f t="shared" si="82"/>
        <v>0</v>
      </c>
      <c r="W749" s="1"/>
      <c r="X749" s="10"/>
    </row>
    <row r="750" spans="1:24" ht="12" hidden="1" customHeight="1" x14ac:dyDescent="0.25">
      <c r="A750" s="1" t="str">
        <f>IF(R750=0,"",COUNTIF(A$23:A749,"&gt;0")+1)</f>
        <v/>
      </c>
      <c r="B750" s="784"/>
      <c r="C750" s="785" t="s">
        <v>587</v>
      </c>
      <c r="D750" s="786" t="s">
        <v>981</v>
      </c>
      <c r="E750" s="787"/>
      <c r="F750" s="795"/>
      <c r="G750" s="789" t="s">
        <v>1296</v>
      </c>
      <c r="H750" s="789"/>
      <c r="I750" s="790"/>
      <c r="J750" s="791"/>
      <c r="K750" s="792">
        <f>IF(VLOOKUP(D750,A!A$1:O$767,11,FALSE)="y",1,0)</f>
        <v>0</v>
      </c>
      <c r="L750" s="792">
        <f>IF(VLOOKUP(D750,A!A$1:O$767,12,FALSE)="y",1,0)</f>
        <v>0</v>
      </c>
      <c r="M750" s="793"/>
      <c r="N750" s="791">
        <f>VLOOKUP(D750,A!A$1:O$767,13,FALSE)</f>
        <v>0</v>
      </c>
      <c r="O750" s="794">
        <v>4</v>
      </c>
      <c r="P750" s="10">
        <f>VLOOKUP(D750,A!A$1:O$767,9,FALSE)</f>
        <v>0</v>
      </c>
      <c r="Q750" s="10" t="s">
        <v>968</v>
      </c>
      <c r="R750" s="10">
        <f t="shared" si="81"/>
        <v>0</v>
      </c>
      <c r="S750" s="10">
        <f>VLOOKUP(D750,A!A$1:AK$767,32,FALSE)</f>
        <v>35</v>
      </c>
      <c r="T750" s="10">
        <v>0.125</v>
      </c>
      <c r="U750" s="10">
        <f t="shared" si="82"/>
        <v>0</v>
      </c>
      <c r="W750" s="1"/>
      <c r="X750" s="10"/>
    </row>
    <row r="751" spans="1:24" ht="11.25" customHeight="1" x14ac:dyDescent="0.25">
      <c r="A751" s="1" t="str">
        <f>IF(R751=0,"",COUNTIF(A$23:A750,"&gt;0")+1)</f>
        <v/>
      </c>
      <c r="B751" s="784"/>
      <c r="C751" s="785" t="s">
        <v>587</v>
      </c>
      <c r="D751" s="786" t="s">
        <v>982</v>
      </c>
      <c r="E751" s="787"/>
      <c r="F751" s="795" t="s">
        <v>1349</v>
      </c>
      <c r="G751" s="789" t="s">
        <v>983</v>
      </c>
      <c r="H751" s="789"/>
      <c r="I751" s="790"/>
      <c r="J751" s="791"/>
      <c r="K751" s="792">
        <f>IF(VLOOKUP(D751,A!A$1:O$767,11,FALSE)="y",1,0)</f>
        <v>1</v>
      </c>
      <c r="L751" s="792">
        <f>IF(VLOOKUP(D751,A!A$1:O$767,12,FALSE)="y",1,0)</f>
        <v>0</v>
      </c>
      <c r="M751" s="793"/>
      <c r="N751" s="791">
        <f>VLOOKUP(D751,A!A$1:O$767,13,FALSE)</f>
        <v>0</v>
      </c>
      <c r="O751" s="794">
        <v>4</v>
      </c>
      <c r="P751" s="10" t="str">
        <f>VLOOKUP(D751,A!A$1:O$767,9,FALSE)</f>
        <v>Y</v>
      </c>
      <c r="Q751" s="10" t="s">
        <v>968</v>
      </c>
      <c r="R751" s="10">
        <f t="shared" si="81"/>
        <v>0</v>
      </c>
      <c r="S751" s="10">
        <f>VLOOKUP(D751,A!A$1:AK$767,32,FALSE)</f>
        <v>35</v>
      </c>
      <c r="T751" s="10">
        <v>0.125</v>
      </c>
      <c r="U751" s="10">
        <f t="shared" si="82"/>
        <v>0</v>
      </c>
      <c r="W751" s="1"/>
      <c r="X751" s="10"/>
    </row>
    <row r="752" spans="1:24" ht="11.25" hidden="1" customHeight="1" x14ac:dyDescent="0.25">
      <c r="A752" s="1" t="str">
        <f>IF(R752=0,"",COUNTIF(A$23:A751,"&gt;0")+1)</f>
        <v/>
      </c>
      <c r="B752" s="784"/>
      <c r="C752" s="785" t="s">
        <v>587</v>
      </c>
      <c r="D752" s="786" t="s">
        <v>984</v>
      </c>
      <c r="E752" s="787"/>
      <c r="F752" s="795" t="s">
        <v>1367</v>
      </c>
      <c r="G752" s="789" t="s">
        <v>1366</v>
      </c>
      <c r="H752" s="789"/>
      <c r="I752" s="790"/>
      <c r="J752" s="791"/>
      <c r="K752" s="792">
        <f>IF(VLOOKUP(D752,A!A$1:O$767,11,FALSE)="y",1,0)</f>
        <v>0</v>
      </c>
      <c r="L752" s="792">
        <f>IF(VLOOKUP(D752,A!A$1:O$767,12,FALSE)="y",1,0)</f>
        <v>0</v>
      </c>
      <c r="M752" s="793"/>
      <c r="N752" s="791">
        <f>VLOOKUP(D752,A!A$1:O$767,13,FALSE)</f>
        <v>0</v>
      </c>
      <c r="O752" s="794">
        <v>4</v>
      </c>
      <c r="P752" s="10">
        <f>VLOOKUP(D752,A!A$1:O$767,9,FALSE)</f>
        <v>0</v>
      </c>
      <c r="Q752" s="10" t="s">
        <v>968</v>
      </c>
      <c r="R752" s="10">
        <f t="shared" si="81"/>
        <v>0</v>
      </c>
      <c r="S752" s="10">
        <f>VLOOKUP(D752,A!A$1:AK$767,32,FALSE)</f>
        <v>35</v>
      </c>
      <c r="T752" s="10">
        <v>0.125</v>
      </c>
      <c r="U752" s="10">
        <f t="shared" si="82"/>
        <v>0</v>
      </c>
      <c r="W752" s="1"/>
      <c r="X752" s="10"/>
    </row>
    <row r="753" spans="1:24" ht="11.25" hidden="1" customHeight="1" x14ac:dyDescent="0.25">
      <c r="A753" s="1" t="str">
        <f>IF(R753=0,"",COUNTIF(A$23:A752,"&gt;0")+1)</f>
        <v/>
      </c>
      <c r="B753" s="784"/>
      <c r="C753" s="785" t="s">
        <v>587</v>
      </c>
      <c r="D753" s="786" t="s">
        <v>985</v>
      </c>
      <c r="E753" s="787"/>
      <c r="F753" s="788" t="s">
        <v>1348</v>
      </c>
      <c r="G753" s="789" t="s">
        <v>986</v>
      </c>
      <c r="H753" s="789"/>
      <c r="I753" s="790"/>
      <c r="J753" s="791"/>
      <c r="K753" s="792">
        <f>IF(VLOOKUP(D753,A!A$1:O$767,11,FALSE)="y",1,0)</f>
        <v>0</v>
      </c>
      <c r="L753" s="792">
        <f>IF(VLOOKUP(D753,A!A$1:O$767,12,FALSE)="y",1,0)</f>
        <v>0</v>
      </c>
      <c r="M753" s="793"/>
      <c r="N753" s="791">
        <f>VLOOKUP(D753,A!A$1:O$767,13,FALSE)</f>
        <v>0</v>
      </c>
      <c r="O753" s="794">
        <v>4</v>
      </c>
      <c r="P753" s="10">
        <f>VLOOKUP(D753,A!A$1:O$767,9,FALSE)</f>
        <v>0</v>
      </c>
      <c r="Q753" s="10" t="s">
        <v>968</v>
      </c>
      <c r="R753" s="10">
        <f t="shared" si="81"/>
        <v>0</v>
      </c>
      <c r="S753" s="10">
        <f>VLOOKUP(D753,A!A$1:AK$767,32,FALSE)</f>
        <v>35</v>
      </c>
      <c r="T753" s="10">
        <v>0.125</v>
      </c>
      <c r="U753" s="10">
        <f t="shared" si="82"/>
        <v>0</v>
      </c>
      <c r="W753" s="1"/>
      <c r="X753" s="10"/>
    </row>
    <row r="754" spans="1:24" ht="12.75" hidden="1" customHeight="1" x14ac:dyDescent="0.25">
      <c r="A754" s="1" t="str">
        <f>IF(R754=0,"",COUNTIF(A$23:A753,"&gt;0")+1)</f>
        <v/>
      </c>
      <c r="B754" s="784"/>
      <c r="C754" s="785" t="s">
        <v>587</v>
      </c>
      <c r="D754" s="786" t="s">
        <v>987</v>
      </c>
      <c r="E754" s="787"/>
      <c r="F754" s="796"/>
      <c r="G754" s="789"/>
      <c r="H754" s="789"/>
      <c r="I754" s="790"/>
      <c r="J754" s="791"/>
      <c r="K754" s="792">
        <f>IF(VLOOKUP(D754,A!A$1:O$767,11,FALSE)="y",1,0)</f>
        <v>0</v>
      </c>
      <c r="L754" s="792">
        <f>IF(VLOOKUP(D754,A!A$1:O$767,12,FALSE)="y",1,0)</f>
        <v>0</v>
      </c>
      <c r="M754" s="793"/>
      <c r="N754" s="791">
        <f>VLOOKUP(D754,A!A$1:O$767,13,FALSE)</f>
        <v>0</v>
      </c>
      <c r="O754" s="794">
        <v>4</v>
      </c>
      <c r="P754" s="10">
        <f>VLOOKUP(D754,A!A$1:O$767,9,FALSE)</f>
        <v>0</v>
      </c>
      <c r="Q754" s="10" t="s">
        <v>968</v>
      </c>
      <c r="R754" s="10">
        <f t="shared" si="81"/>
        <v>0</v>
      </c>
      <c r="S754" s="10">
        <f>VLOOKUP(D754,A!A$1:AK$767,32,FALSE)</f>
        <v>35</v>
      </c>
      <c r="T754" s="10">
        <v>0.125</v>
      </c>
      <c r="U754" s="10">
        <f t="shared" si="82"/>
        <v>0</v>
      </c>
      <c r="W754" s="1"/>
      <c r="X754" s="10"/>
    </row>
    <row r="755" spans="1:24" ht="12.75" hidden="1" customHeight="1" x14ac:dyDescent="0.25">
      <c r="A755" s="1" t="str">
        <f>IF(R755=0,"",COUNTIF(A$23:A754,"&gt;0")+1)</f>
        <v/>
      </c>
      <c r="B755" s="784"/>
      <c r="C755" s="785" t="s">
        <v>587</v>
      </c>
      <c r="D755" s="786" t="s">
        <v>988</v>
      </c>
      <c r="E755" s="787"/>
      <c r="F755" s="796"/>
      <c r="G755" s="789"/>
      <c r="H755" s="789"/>
      <c r="I755" s="790"/>
      <c r="J755" s="791"/>
      <c r="K755" s="792">
        <f>IF(VLOOKUP(D755,A!A$1:O$767,11,FALSE)="y",1,0)</f>
        <v>0</v>
      </c>
      <c r="L755" s="792">
        <f>IF(VLOOKUP(D755,A!A$1:O$767,12,FALSE)="y",1,0)</f>
        <v>0</v>
      </c>
      <c r="M755" s="793"/>
      <c r="N755" s="791">
        <f>VLOOKUP(D755,A!A$1:O$767,13,FALSE)</f>
        <v>0</v>
      </c>
      <c r="O755" s="794">
        <v>4</v>
      </c>
      <c r="P755" s="10">
        <f>VLOOKUP(D755,A!A$1:O$767,9,FALSE)</f>
        <v>0</v>
      </c>
      <c r="Q755" s="10" t="s">
        <v>968</v>
      </c>
      <c r="R755" s="10">
        <f t="shared" si="81"/>
        <v>0</v>
      </c>
      <c r="S755" s="10">
        <f>VLOOKUP(D755,A!A$1:AK$767,32,FALSE)</f>
        <v>35</v>
      </c>
      <c r="T755" s="10">
        <v>0.125</v>
      </c>
      <c r="U755" s="10">
        <f t="shared" si="82"/>
        <v>0</v>
      </c>
      <c r="W755" s="1"/>
      <c r="X755" s="10"/>
    </row>
    <row r="756" spans="1:24" ht="11.25" hidden="1" customHeight="1" x14ac:dyDescent="0.25">
      <c r="A756" s="1" t="str">
        <f>IF(R756=0,"",COUNTIF(A$23:A755,"&gt;0")+1)</f>
        <v/>
      </c>
      <c r="B756" s="784"/>
      <c r="C756" s="785" t="s">
        <v>587</v>
      </c>
      <c r="D756" s="786" t="s">
        <v>989</v>
      </c>
      <c r="E756" s="787"/>
      <c r="F756" s="796"/>
      <c r="G756" s="789"/>
      <c r="H756" s="789"/>
      <c r="I756" s="790"/>
      <c r="J756" s="791"/>
      <c r="K756" s="792">
        <f>IF(VLOOKUP(D756,A!A$1:O$767,11,FALSE)="y",1,0)</f>
        <v>0</v>
      </c>
      <c r="L756" s="792">
        <f>IF(VLOOKUP(D756,A!A$1:O$767,12,FALSE)="y",1,0)</f>
        <v>0</v>
      </c>
      <c r="M756" s="793"/>
      <c r="N756" s="791">
        <f>VLOOKUP(D756,A!A$1:O$767,13,FALSE)</f>
        <v>0</v>
      </c>
      <c r="O756" s="794">
        <v>4</v>
      </c>
      <c r="P756" s="10">
        <f>VLOOKUP(D756,A!A$1:O$767,9,FALSE)</f>
        <v>0</v>
      </c>
      <c r="Q756" s="10" t="s">
        <v>968</v>
      </c>
      <c r="R756" s="10">
        <f t="shared" si="81"/>
        <v>0</v>
      </c>
      <c r="S756" s="10">
        <f>VLOOKUP(D756,A!A$1:AK$767,32,FALSE)</f>
        <v>35</v>
      </c>
      <c r="T756" s="10">
        <v>0.125</v>
      </c>
      <c r="U756" s="10">
        <f t="shared" si="82"/>
        <v>0</v>
      </c>
      <c r="W756" s="1"/>
      <c r="X756" s="10"/>
    </row>
    <row r="757" spans="1:24" ht="12.75" hidden="1" customHeight="1" x14ac:dyDescent="0.25">
      <c r="A757" s="1" t="str">
        <f>IF(R757=0,"",COUNTIF(A$23:A756,"&gt;0")+1)</f>
        <v/>
      </c>
      <c r="B757" s="784"/>
      <c r="C757" s="785" t="s">
        <v>587</v>
      </c>
      <c r="D757" s="786" t="s">
        <v>990</v>
      </c>
      <c r="E757" s="787"/>
      <c r="F757" s="796" t="s">
        <v>1347</v>
      </c>
      <c r="G757" s="789" t="s">
        <v>991</v>
      </c>
      <c r="H757" s="789"/>
      <c r="I757" s="790"/>
      <c r="J757" s="791"/>
      <c r="K757" s="792">
        <f>IF(VLOOKUP(D757,A!A$1:O$767,11,FALSE)="y",1,0)</f>
        <v>0</v>
      </c>
      <c r="L757" s="792">
        <f>IF(VLOOKUP(D757,A!A$1:O$767,12,FALSE)="y",1,0)</f>
        <v>0</v>
      </c>
      <c r="M757" s="793"/>
      <c r="N757" s="791">
        <f>VLOOKUP(D757,A!A$1:O$767,13,FALSE)</f>
        <v>0</v>
      </c>
      <c r="O757" s="794">
        <v>4</v>
      </c>
      <c r="P757" s="10">
        <f>VLOOKUP(D757,A!A$1:O$767,9,FALSE)</f>
        <v>0</v>
      </c>
      <c r="Q757" s="10" t="s">
        <v>968</v>
      </c>
      <c r="R757" s="10">
        <f t="shared" si="81"/>
        <v>0</v>
      </c>
      <c r="S757" s="10">
        <f>VLOOKUP(D757,A!A$1:AK$767,32,FALSE)</f>
        <v>35</v>
      </c>
      <c r="T757" s="10">
        <v>0.125</v>
      </c>
      <c r="U757" s="10">
        <f t="shared" si="82"/>
        <v>0</v>
      </c>
      <c r="W757" s="1"/>
      <c r="X757" s="10"/>
    </row>
    <row r="758" spans="1:24" ht="13.5" hidden="1" customHeight="1" x14ac:dyDescent="0.25">
      <c r="A758" s="1" t="str">
        <f>IF(R758=0,"",COUNTIF(A$23:A757,"&gt;0")+1)</f>
        <v/>
      </c>
      <c r="B758" s="784"/>
      <c r="C758" s="785" t="s">
        <v>587</v>
      </c>
      <c r="D758" s="786" t="s">
        <v>992</v>
      </c>
      <c r="E758" s="787"/>
      <c r="F758" s="796"/>
      <c r="G758" s="789"/>
      <c r="H758" s="789"/>
      <c r="I758" s="790"/>
      <c r="J758" s="791"/>
      <c r="K758" s="792">
        <f>IF(VLOOKUP(D758,A!A$1:O$767,11,FALSE)="y",1,0)</f>
        <v>0</v>
      </c>
      <c r="L758" s="792">
        <f>IF(VLOOKUP(D758,A!A$1:O$767,12,FALSE)="y",1,0)</f>
        <v>0</v>
      </c>
      <c r="M758" s="793"/>
      <c r="N758" s="791">
        <f>VLOOKUP(D758,A!A$1:O$767,13,FALSE)</f>
        <v>0</v>
      </c>
      <c r="O758" s="794">
        <v>4</v>
      </c>
      <c r="P758" s="10">
        <f>VLOOKUP(D758,A!A$1:O$767,9,FALSE)</f>
        <v>0</v>
      </c>
      <c r="Q758" s="10" t="s">
        <v>968</v>
      </c>
      <c r="R758" s="10">
        <f t="shared" si="81"/>
        <v>0</v>
      </c>
      <c r="S758" s="10">
        <f>VLOOKUP(D758,A!A$1:AK$767,32,FALSE)</f>
        <v>35</v>
      </c>
      <c r="T758" s="10">
        <v>0.125</v>
      </c>
      <c r="U758" s="10">
        <f t="shared" si="82"/>
        <v>0</v>
      </c>
      <c r="W758" s="1"/>
      <c r="X758" s="10"/>
    </row>
    <row r="759" spans="1:24" ht="13.5" hidden="1" customHeight="1" x14ac:dyDescent="0.25">
      <c r="A759" s="1" t="str">
        <f>IF(R759=0,"",COUNTIF(A$23:A758,"&gt;0")+1)</f>
        <v/>
      </c>
      <c r="B759" s="784"/>
      <c r="C759" s="785" t="s">
        <v>587</v>
      </c>
      <c r="D759" s="786" t="s">
        <v>993</v>
      </c>
      <c r="E759" s="787"/>
      <c r="F759" s="796"/>
      <c r="G759" s="789"/>
      <c r="H759" s="789"/>
      <c r="I759" s="790"/>
      <c r="J759" s="791"/>
      <c r="K759" s="792">
        <f>IF(VLOOKUP(D759,A!A$1:O$767,11,FALSE)="y",1,0)</f>
        <v>0</v>
      </c>
      <c r="L759" s="792">
        <f>IF(VLOOKUP(D759,A!A$1:O$767,12,FALSE)="y",1,0)</f>
        <v>0</v>
      </c>
      <c r="M759" s="793"/>
      <c r="N759" s="791">
        <f>VLOOKUP(D759,A!A$1:O$767,13,FALSE)</f>
        <v>0</v>
      </c>
      <c r="O759" s="794">
        <v>4</v>
      </c>
      <c r="P759" s="10">
        <f>VLOOKUP(D759,A!A$1:O$767,9,FALSE)</f>
        <v>0</v>
      </c>
      <c r="Q759" s="10" t="s">
        <v>968</v>
      </c>
      <c r="R759" s="10">
        <f t="shared" si="81"/>
        <v>0</v>
      </c>
      <c r="S759" s="10">
        <f>VLOOKUP(D759,A!A$1:AK$767,32,FALSE)</f>
        <v>35</v>
      </c>
      <c r="T759" s="10">
        <v>0.125</v>
      </c>
      <c r="U759" s="10">
        <f t="shared" si="82"/>
        <v>0</v>
      </c>
      <c r="W759" s="1"/>
      <c r="X759" s="10"/>
    </row>
    <row r="760" spans="1:24" ht="11.25" hidden="1" customHeight="1" x14ac:dyDescent="0.25">
      <c r="A760" s="1" t="str">
        <f>IF(R760=0,"",COUNTIF(A$23:A759,"&gt;0")+1)</f>
        <v/>
      </c>
      <c r="B760" s="784"/>
      <c r="C760" s="785" t="s">
        <v>587</v>
      </c>
      <c r="D760" s="786" t="s">
        <v>994</v>
      </c>
      <c r="E760" s="787"/>
      <c r="F760" s="797" t="s">
        <v>1350</v>
      </c>
      <c r="G760" s="789" t="s">
        <v>995</v>
      </c>
      <c r="H760" s="789"/>
      <c r="I760" s="790"/>
      <c r="J760" s="791"/>
      <c r="K760" s="792">
        <f>IF(VLOOKUP(D760,A!A$1:O$767,11,FALSE)="y",1,0)</f>
        <v>0</v>
      </c>
      <c r="L760" s="792">
        <f>IF(VLOOKUP(D760,A!A$1:O$767,12,FALSE)="y",1,0)</f>
        <v>0</v>
      </c>
      <c r="M760" s="793"/>
      <c r="N760" s="791">
        <f>VLOOKUP(D760,A!A$1:O$767,13,FALSE)</f>
        <v>0</v>
      </c>
      <c r="O760" s="794">
        <v>4</v>
      </c>
      <c r="P760" s="10">
        <f>VLOOKUP(D760,A!A$1:O$767,9,FALSE)</f>
        <v>0</v>
      </c>
      <c r="Q760" s="10" t="s">
        <v>968</v>
      </c>
      <c r="R760" s="10">
        <f t="shared" si="81"/>
        <v>0</v>
      </c>
      <c r="S760" s="10">
        <f>VLOOKUP(D760,A!A$1:AK$767,32,FALSE)</f>
        <v>35</v>
      </c>
      <c r="T760" s="10">
        <v>0.125</v>
      </c>
      <c r="U760" s="10">
        <f t="shared" si="82"/>
        <v>0</v>
      </c>
      <c r="W760" s="1"/>
      <c r="X760" s="10"/>
    </row>
    <row r="761" spans="1:24" ht="13.5" hidden="1" customHeight="1" x14ac:dyDescent="0.25">
      <c r="A761" s="1" t="str">
        <f>IF(R761=0,"",COUNTIF(A$23:A760,"&gt;0")+1)</f>
        <v/>
      </c>
      <c r="B761" s="784"/>
      <c r="C761" s="785" t="s">
        <v>587</v>
      </c>
      <c r="D761" s="786" t="s">
        <v>996</v>
      </c>
      <c r="E761" s="787"/>
      <c r="F761" s="796"/>
      <c r="G761" s="789" t="s">
        <v>997</v>
      </c>
      <c r="H761" s="789"/>
      <c r="I761" s="790"/>
      <c r="J761" s="791"/>
      <c r="K761" s="792">
        <f>IF(VLOOKUP(D761,A!A$1:O$767,11,FALSE)="y",1,0)</f>
        <v>0</v>
      </c>
      <c r="L761" s="792">
        <f>IF(VLOOKUP(D761,A!A$1:O$767,12,FALSE)="y",1,0)</f>
        <v>0</v>
      </c>
      <c r="M761" s="793"/>
      <c r="N761" s="791">
        <f>VLOOKUP(D761,A!A$1:O$767,13,FALSE)</f>
        <v>0</v>
      </c>
      <c r="O761" s="794">
        <v>4</v>
      </c>
      <c r="P761" s="10">
        <f>VLOOKUP(D761,A!A$1:O$767,9,FALSE)</f>
        <v>0</v>
      </c>
      <c r="Q761" s="10" t="s">
        <v>968</v>
      </c>
      <c r="R761" s="10">
        <f t="shared" si="81"/>
        <v>0</v>
      </c>
      <c r="S761" s="10">
        <f>VLOOKUP(D761,A!A$1:AK$767,32,FALSE)</f>
        <v>35</v>
      </c>
      <c r="T761" s="10">
        <v>0.125</v>
      </c>
      <c r="U761" s="10">
        <f t="shared" si="82"/>
        <v>0</v>
      </c>
      <c r="W761" s="1"/>
      <c r="X761" s="10"/>
    </row>
    <row r="762" spans="1:24" ht="11.25" customHeight="1" x14ac:dyDescent="0.25">
      <c r="A762" s="1" t="str">
        <f>IF(R762=0,"",COUNTIF(A$23:A761,"&gt;0")+1)</f>
        <v/>
      </c>
      <c r="B762" s="784"/>
      <c r="C762" s="785" t="s">
        <v>587</v>
      </c>
      <c r="D762" s="786" t="s">
        <v>998</v>
      </c>
      <c r="E762" s="787"/>
      <c r="F762" s="788" t="s">
        <v>1348</v>
      </c>
      <c r="G762" s="789" t="s">
        <v>999</v>
      </c>
      <c r="H762" s="789"/>
      <c r="I762" s="790"/>
      <c r="J762" s="791"/>
      <c r="K762" s="792">
        <f>IF(VLOOKUP(D762,A!A$1:O$767,11,FALSE)="y",1,0)</f>
        <v>1</v>
      </c>
      <c r="L762" s="792">
        <f>IF(VLOOKUP(D762,A!A$1:O$767,12,FALSE)="y",1,0)</f>
        <v>0</v>
      </c>
      <c r="M762" s="793"/>
      <c r="N762" s="791">
        <f>VLOOKUP(D762,A!A$1:O$767,13,FALSE)</f>
        <v>0</v>
      </c>
      <c r="O762" s="794">
        <v>4</v>
      </c>
      <c r="P762" s="10" t="str">
        <f>VLOOKUP(D762,A!A$1:O$767,9,FALSE)</f>
        <v>y</v>
      </c>
      <c r="Q762" s="10" t="s">
        <v>968</v>
      </c>
      <c r="R762" s="10">
        <f t="shared" si="81"/>
        <v>0</v>
      </c>
      <c r="S762" s="10">
        <f>VLOOKUP(D762,A!A$1:AK$767,32,FALSE)</f>
        <v>35</v>
      </c>
      <c r="T762" s="10">
        <v>0.125</v>
      </c>
      <c r="U762" s="10">
        <f t="shared" si="82"/>
        <v>0</v>
      </c>
      <c r="W762" s="1"/>
      <c r="X762" s="10"/>
    </row>
    <row r="763" spans="1:24" ht="11.25" customHeight="1" x14ac:dyDescent="0.25">
      <c r="A763" s="1" t="str">
        <f>IF(R763=0,"",COUNTIF(A$23:A762,"&gt;0")+1)</f>
        <v/>
      </c>
      <c r="B763" s="784"/>
      <c r="C763" s="785" t="s">
        <v>587</v>
      </c>
      <c r="D763" s="786" t="s">
        <v>1000</v>
      </c>
      <c r="E763" s="787"/>
      <c r="F763" s="795" t="s">
        <v>1349</v>
      </c>
      <c r="G763" s="789" t="s">
        <v>1001</v>
      </c>
      <c r="H763" s="789"/>
      <c r="I763" s="790"/>
      <c r="J763" s="791"/>
      <c r="K763" s="792">
        <f>IF(VLOOKUP(D763,A!A$1:O$767,11,FALSE)="y",1,0)</f>
        <v>1</v>
      </c>
      <c r="L763" s="792">
        <f>IF(VLOOKUP(D763,A!A$1:O$767,12,FALSE)="y",1,0)</f>
        <v>0</v>
      </c>
      <c r="M763" s="793"/>
      <c r="N763" s="791" t="str">
        <f>VLOOKUP(D763,A!A$1:O$767,13,FALSE)</f>
        <v>y</v>
      </c>
      <c r="O763" s="794">
        <v>4</v>
      </c>
      <c r="P763" s="10" t="str">
        <f>VLOOKUP(D763,A!A$1:O$767,9,FALSE)</f>
        <v>y</v>
      </c>
      <c r="Q763" s="10" t="s">
        <v>968</v>
      </c>
      <c r="R763" s="10">
        <f>B763</f>
        <v>0</v>
      </c>
      <c r="S763" s="10">
        <f>VLOOKUP(D763,A!A$1:AK$767,32,FALSE)</f>
        <v>35</v>
      </c>
      <c r="T763" s="10">
        <v>0.125</v>
      </c>
      <c r="U763" s="10">
        <f>T763*B763</f>
        <v>0</v>
      </c>
      <c r="W763" s="1"/>
      <c r="X763" s="10"/>
    </row>
    <row r="764" spans="1:24" ht="13.5" hidden="1" customHeight="1" x14ac:dyDescent="0.25">
      <c r="A764" s="1" t="str">
        <f>IF(R764=0,"",COUNTIF(A$23:A763,"&gt;0")+1)</f>
        <v/>
      </c>
      <c r="B764" s="784"/>
      <c r="C764" s="785" t="s">
        <v>587</v>
      </c>
      <c r="D764" s="786" t="s">
        <v>1002</v>
      </c>
      <c r="E764" s="787"/>
      <c r="F764" s="796"/>
      <c r="G764" s="789"/>
      <c r="H764" s="789"/>
      <c r="I764" s="790"/>
      <c r="J764" s="791"/>
      <c r="K764" s="792">
        <f>IF(VLOOKUP(D764,A!A$1:O$767,11,FALSE)="y",1,0)</f>
        <v>0</v>
      </c>
      <c r="L764" s="792">
        <f>IF(VLOOKUP(D764,A!A$1:O$767,12,FALSE)="y",1,0)</f>
        <v>0</v>
      </c>
      <c r="M764" s="793"/>
      <c r="N764" s="791">
        <f>VLOOKUP(D764,A!A$1:O$767,13,FALSE)</f>
        <v>0</v>
      </c>
      <c r="O764" s="794">
        <v>4</v>
      </c>
      <c r="P764" s="10">
        <f>VLOOKUP(D764,A!A$1:O$767,9,FALSE)</f>
        <v>0</v>
      </c>
      <c r="Q764" s="10" t="s">
        <v>968</v>
      </c>
      <c r="R764" s="10">
        <f t="shared" si="81"/>
        <v>0</v>
      </c>
      <c r="S764" s="10">
        <f>VLOOKUP(D764,A!A$1:AK$767,32,FALSE)</f>
        <v>35</v>
      </c>
      <c r="T764" s="10">
        <v>0.125</v>
      </c>
      <c r="U764" s="10">
        <f t="shared" si="82"/>
        <v>0</v>
      </c>
      <c r="W764" s="1"/>
      <c r="X764" s="10"/>
    </row>
    <row r="765" spans="1:24" ht="12.75" hidden="1" customHeight="1" x14ac:dyDescent="0.25">
      <c r="A765" s="1" t="str">
        <f>IF(R765=0,"",COUNTIF(A$23:A764,"&gt;0")+1)</f>
        <v/>
      </c>
      <c r="B765" s="784"/>
      <c r="C765" s="785" t="s">
        <v>587</v>
      </c>
      <c r="D765" s="786" t="s">
        <v>1351</v>
      </c>
      <c r="E765" s="787"/>
      <c r="F765" s="797" t="s">
        <v>1350</v>
      </c>
      <c r="G765" s="789" t="s">
        <v>1003</v>
      </c>
      <c r="H765" s="789"/>
      <c r="I765" s="790"/>
      <c r="J765" s="791"/>
      <c r="K765" s="792">
        <f>IF(VLOOKUP(D765,A!A$1:O$767,11,FALSE)="y",1,0)</f>
        <v>0</v>
      </c>
      <c r="L765" s="792">
        <f>IF(VLOOKUP(D765,A!A$1:O$767,12,FALSE)="y",1,0)</f>
        <v>0</v>
      </c>
      <c r="M765" s="793"/>
      <c r="N765" s="791">
        <f>VLOOKUP(D765,A!A$1:O$767,13,FALSE)</f>
        <v>0</v>
      </c>
      <c r="O765" s="794">
        <v>4</v>
      </c>
      <c r="P765" s="10">
        <f>VLOOKUP(D765,A!A$1:O$767,9,FALSE)</f>
        <v>0</v>
      </c>
      <c r="Q765" s="10" t="s">
        <v>968</v>
      </c>
      <c r="R765" s="10">
        <f>B765</f>
        <v>0</v>
      </c>
      <c r="S765" s="10">
        <f>VLOOKUP(D765,A!A$1:AK$767,32,FALSE)</f>
        <v>35</v>
      </c>
      <c r="T765" s="10">
        <v>0.125</v>
      </c>
      <c r="U765" s="10">
        <f>T765*B765</f>
        <v>0</v>
      </c>
      <c r="W765" s="1"/>
      <c r="X765" s="10"/>
    </row>
    <row r="766" spans="1:24" ht="12" customHeight="1" x14ac:dyDescent="0.25">
      <c r="A766" s="1" t="str">
        <f>IF(R766=0,"",COUNTIF(A$23:A765,"&gt;0")+1)</f>
        <v/>
      </c>
      <c r="B766" s="784"/>
      <c r="C766" s="785" t="s">
        <v>587</v>
      </c>
      <c r="D766" s="786" t="s">
        <v>1004</v>
      </c>
      <c r="E766" s="787"/>
      <c r="F766" s="796" t="s">
        <v>1417</v>
      </c>
      <c r="G766" s="789" t="s">
        <v>1005</v>
      </c>
      <c r="H766" s="789"/>
      <c r="I766" s="790"/>
      <c r="J766" s="791"/>
      <c r="K766" s="792">
        <f>IF(VLOOKUP(D766,A!A$1:O$767,11,FALSE)="y",1,0)</f>
        <v>1</v>
      </c>
      <c r="L766" s="792">
        <f>IF(VLOOKUP(D766,A!A$1:O$767,12,FALSE)="y",1,0)</f>
        <v>1</v>
      </c>
      <c r="M766" s="793" t="s">
        <v>726</v>
      </c>
      <c r="N766" s="791" t="str">
        <f>VLOOKUP(D766,A!A$1:O$767,13,FALSE)</f>
        <v>y</v>
      </c>
      <c r="O766" s="794">
        <v>4</v>
      </c>
      <c r="P766" s="10" t="str">
        <f>VLOOKUP(D766,A!A$1:O$767,9,FALSE)</f>
        <v>y</v>
      </c>
      <c r="Q766" s="10" t="s">
        <v>968</v>
      </c>
      <c r="R766" s="10">
        <f t="shared" si="81"/>
        <v>0</v>
      </c>
      <c r="S766" s="10">
        <f>VLOOKUP(D766,A!A$1:AK$767,32,FALSE)</f>
        <v>35</v>
      </c>
      <c r="T766" s="10">
        <v>0.125</v>
      </c>
      <c r="U766" s="10">
        <f t="shared" si="82"/>
        <v>0</v>
      </c>
      <c r="W766" s="1"/>
      <c r="X766" s="10"/>
    </row>
    <row r="767" spans="1:24" ht="11.25" hidden="1" customHeight="1" x14ac:dyDescent="0.25">
      <c r="A767" s="1" t="str">
        <f>IF(R767=0,"",COUNTIF(A$23:A766,"&gt;0")+1)</f>
        <v/>
      </c>
      <c r="B767" s="784"/>
      <c r="C767" s="785" t="s">
        <v>587</v>
      </c>
      <c r="D767" s="786" t="s">
        <v>1006</v>
      </c>
      <c r="E767" s="787"/>
      <c r="F767" s="796" t="s">
        <v>1347</v>
      </c>
      <c r="G767" s="789" t="s">
        <v>1007</v>
      </c>
      <c r="H767" s="789"/>
      <c r="I767" s="790"/>
      <c r="J767" s="791"/>
      <c r="K767" s="792">
        <f>IF(VLOOKUP(D767,A!A$1:O$767,11,FALSE)="y",1,0)</f>
        <v>0</v>
      </c>
      <c r="L767" s="792">
        <f>IF(VLOOKUP(D767,A!A$1:O$767,12,FALSE)="y",1,0)</f>
        <v>0</v>
      </c>
      <c r="M767" s="793"/>
      <c r="N767" s="791">
        <f>VLOOKUP(D767,A!A$1:O$767,13,FALSE)</f>
        <v>0</v>
      </c>
      <c r="O767" s="794">
        <v>4</v>
      </c>
      <c r="P767" s="10">
        <f>VLOOKUP(D767,A!A$1:O$767,9,FALSE)</f>
        <v>0</v>
      </c>
      <c r="Q767" s="10" t="s">
        <v>968</v>
      </c>
      <c r="R767" s="10">
        <f t="shared" si="81"/>
        <v>0</v>
      </c>
      <c r="S767" s="10">
        <f>VLOOKUP(D767,A!A$1:AK$767,32,FALSE)</f>
        <v>35</v>
      </c>
      <c r="T767" s="10">
        <v>0.125</v>
      </c>
      <c r="U767" s="10">
        <f t="shared" si="82"/>
        <v>0</v>
      </c>
      <c r="W767" s="1"/>
      <c r="X767" s="10"/>
    </row>
    <row r="768" spans="1:24" ht="11.25" hidden="1" customHeight="1" x14ac:dyDescent="0.25">
      <c r="A768" s="1" t="str">
        <f>IF(R768=0,"",COUNTIF(A$23:A767,"&gt;0")+1)</f>
        <v/>
      </c>
      <c r="B768" s="784"/>
      <c r="C768" s="785" t="s">
        <v>587</v>
      </c>
      <c r="D768" s="786" t="s">
        <v>1008</v>
      </c>
      <c r="E768" s="787"/>
      <c r="F768" s="797" t="s">
        <v>1350</v>
      </c>
      <c r="G768" s="789" t="s">
        <v>1009</v>
      </c>
      <c r="H768" s="789"/>
      <c r="I768" s="790"/>
      <c r="J768" s="791"/>
      <c r="K768" s="792">
        <f>IF(VLOOKUP(D768,A!A$1:O$767,11,FALSE)="y",1,0)</f>
        <v>0</v>
      </c>
      <c r="L768" s="792">
        <f>IF(VLOOKUP(D768,A!A$1:O$767,12,FALSE)="y",1,0)</f>
        <v>0</v>
      </c>
      <c r="M768" s="793"/>
      <c r="N768" s="791">
        <f>VLOOKUP(D768,A!A$1:O$767,13,FALSE)</f>
        <v>0</v>
      </c>
      <c r="O768" s="794">
        <v>4</v>
      </c>
      <c r="P768" s="10">
        <f>VLOOKUP(D768,A!A$1:O$767,9,FALSE)</f>
        <v>0</v>
      </c>
      <c r="Q768" s="10" t="s">
        <v>968</v>
      </c>
      <c r="R768" s="10">
        <f t="shared" si="81"/>
        <v>0</v>
      </c>
      <c r="S768" s="10">
        <f>VLOOKUP(D768,A!A$1:AK$767,32,FALSE)</f>
        <v>35</v>
      </c>
      <c r="T768" s="10">
        <v>0.125</v>
      </c>
      <c r="U768" s="10">
        <f t="shared" si="82"/>
        <v>0</v>
      </c>
      <c r="W768" s="1"/>
      <c r="X768" s="10"/>
    </row>
    <row r="769" spans="1:24" ht="12.75" hidden="1" customHeight="1" x14ac:dyDescent="0.25">
      <c r="A769" s="1" t="str">
        <f>IF(R769=0,"",COUNTIF(A$23:A768,"&gt;0")+1)</f>
        <v/>
      </c>
      <c r="B769" s="784"/>
      <c r="C769" s="785" t="s">
        <v>587</v>
      </c>
      <c r="D769" s="786" t="s">
        <v>1010</v>
      </c>
      <c r="E769" s="787"/>
      <c r="F769" s="796"/>
      <c r="G769" s="789" t="s">
        <v>1011</v>
      </c>
      <c r="H769" s="789"/>
      <c r="I769" s="790"/>
      <c r="J769" s="791"/>
      <c r="K769" s="792">
        <f>IF(VLOOKUP(D769,A!A$1:O$767,11,FALSE)="y",1,0)</f>
        <v>0</v>
      </c>
      <c r="L769" s="792">
        <f>IF(VLOOKUP(D769,A!A$1:O$767,12,FALSE)="y",1,0)</f>
        <v>0</v>
      </c>
      <c r="M769" s="793"/>
      <c r="N769" s="791">
        <f>VLOOKUP(D769,A!A$1:O$767,13,FALSE)</f>
        <v>0</v>
      </c>
      <c r="O769" s="794">
        <v>4</v>
      </c>
      <c r="P769" s="10">
        <f>VLOOKUP(D769,A!A$1:O$767,9,FALSE)</f>
        <v>0</v>
      </c>
      <c r="Q769" s="10" t="s">
        <v>968</v>
      </c>
      <c r="R769" s="10">
        <f t="shared" si="81"/>
        <v>0</v>
      </c>
      <c r="S769" s="10">
        <f>VLOOKUP(D769,A!A$1:AK$767,32,FALSE)</f>
        <v>35</v>
      </c>
      <c r="T769" s="10">
        <v>0.125</v>
      </c>
      <c r="U769" s="10">
        <f t="shared" si="82"/>
        <v>0</v>
      </c>
      <c r="W769" s="1"/>
      <c r="X769" s="10"/>
    </row>
    <row r="770" spans="1:24" ht="11.25" hidden="1" customHeight="1" x14ac:dyDescent="0.25">
      <c r="A770" s="1" t="str">
        <f>IF(R770=0,"",COUNTIF(A$23:A769,"&gt;0")+1)</f>
        <v/>
      </c>
      <c r="B770" s="784"/>
      <c r="C770" s="785" t="s">
        <v>587</v>
      </c>
      <c r="D770" s="786" t="s">
        <v>1012</v>
      </c>
      <c r="E770" s="787"/>
      <c r="F770" s="797" t="s">
        <v>1350</v>
      </c>
      <c r="G770" s="789" t="s">
        <v>1013</v>
      </c>
      <c r="H770" s="789"/>
      <c r="I770" s="790"/>
      <c r="J770" s="791"/>
      <c r="K770" s="792">
        <f>IF(VLOOKUP(D770,A!A$1:O$767,11,FALSE)="y",1,0)</f>
        <v>0</v>
      </c>
      <c r="L770" s="792">
        <f>IF(VLOOKUP(D770,A!A$1:O$767,12,FALSE)="y",1,0)</f>
        <v>0</v>
      </c>
      <c r="M770" s="793"/>
      <c r="N770" s="791">
        <f>VLOOKUP(D770,A!A$1:O$767,13,FALSE)</f>
        <v>0</v>
      </c>
      <c r="O770" s="794">
        <v>4</v>
      </c>
      <c r="P770" s="10">
        <f>VLOOKUP(D770,A!A$1:O$767,9,FALSE)</f>
        <v>0</v>
      </c>
      <c r="Q770" s="10" t="s">
        <v>968</v>
      </c>
      <c r="R770" s="10">
        <f t="shared" si="81"/>
        <v>0</v>
      </c>
      <c r="S770" s="10">
        <f>VLOOKUP(D770,A!A$1:AK$767,32,FALSE)</f>
        <v>35</v>
      </c>
      <c r="T770" s="10">
        <v>0.125</v>
      </c>
      <c r="U770" s="10">
        <f t="shared" si="82"/>
        <v>0</v>
      </c>
      <c r="W770" s="1"/>
      <c r="X770" s="10"/>
    </row>
    <row r="771" spans="1:24" ht="14.25" hidden="1" customHeight="1" x14ac:dyDescent="0.25">
      <c r="A771" s="1" t="str">
        <f>IF(R771=0,"",COUNTIF(A$23:A770,"&gt;0")+1)</f>
        <v/>
      </c>
      <c r="B771" s="784"/>
      <c r="C771" s="785" t="s">
        <v>587</v>
      </c>
      <c r="D771" s="786" t="s">
        <v>1014</v>
      </c>
      <c r="E771" s="787"/>
      <c r="F771" s="797"/>
      <c r="G771" s="789" t="s">
        <v>1015</v>
      </c>
      <c r="H771" s="789"/>
      <c r="I771" s="790"/>
      <c r="J771" s="791"/>
      <c r="K771" s="792">
        <f>IF(VLOOKUP(D771,A!A$1:O$767,11,FALSE)="y",1,0)</f>
        <v>0</v>
      </c>
      <c r="L771" s="792">
        <f>IF(VLOOKUP(D771,A!A$1:O$767,12,FALSE)="y",1,0)</f>
        <v>0</v>
      </c>
      <c r="M771" s="793"/>
      <c r="N771" s="791">
        <f>VLOOKUP(D771,A!A$1:O$767,13,FALSE)</f>
        <v>0</v>
      </c>
      <c r="O771" s="794">
        <v>4</v>
      </c>
      <c r="P771" s="10">
        <f>VLOOKUP(D771,A!A$1:O$767,9,FALSE)</f>
        <v>0</v>
      </c>
      <c r="Q771" s="10" t="s">
        <v>968</v>
      </c>
      <c r="R771" s="10">
        <f t="shared" si="81"/>
        <v>0</v>
      </c>
      <c r="S771" s="10">
        <f>VLOOKUP(D771,A!A$1:AK$767,32,FALSE)</f>
        <v>35</v>
      </c>
      <c r="T771" s="10">
        <v>0.125</v>
      </c>
      <c r="U771" s="10">
        <f t="shared" si="82"/>
        <v>0</v>
      </c>
      <c r="W771" s="1"/>
      <c r="X771" s="10"/>
    </row>
    <row r="772" spans="1:24" ht="15" hidden="1" customHeight="1" x14ac:dyDescent="0.25">
      <c r="A772" s="1" t="str">
        <f>IF(R772=0,"",COUNTIF(A$23:A771,"&gt;0")+1)</f>
        <v/>
      </c>
      <c r="B772" s="784"/>
      <c r="C772" s="785" t="s">
        <v>587</v>
      </c>
      <c r="D772" s="786" t="s">
        <v>1016</v>
      </c>
      <c r="E772" s="787"/>
      <c r="F772" s="797"/>
      <c r="G772" s="789"/>
      <c r="H772" s="789"/>
      <c r="I772" s="790"/>
      <c r="J772" s="791"/>
      <c r="K772" s="792">
        <f>IF(VLOOKUP(D772,A!A$1:O$767,11,FALSE)="y",1,0)</f>
        <v>0</v>
      </c>
      <c r="L772" s="792">
        <f>IF(VLOOKUP(D772,A!A$1:O$767,12,FALSE)="y",1,0)</f>
        <v>0</v>
      </c>
      <c r="M772" s="793"/>
      <c r="N772" s="791">
        <f>VLOOKUP(D772,A!A$1:O$767,13,FALSE)</f>
        <v>0</v>
      </c>
      <c r="O772" s="794">
        <v>4</v>
      </c>
      <c r="P772" s="10">
        <f>VLOOKUP(D772,A!A$1:O$767,9,FALSE)</f>
        <v>0</v>
      </c>
      <c r="Q772" s="10" t="s">
        <v>968</v>
      </c>
      <c r="R772" s="10">
        <f t="shared" si="81"/>
        <v>0</v>
      </c>
      <c r="S772" s="10">
        <f>VLOOKUP(D772,A!A$1:AK$767,32,FALSE)</f>
        <v>35</v>
      </c>
      <c r="T772" s="10">
        <v>0.125</v>
      </c>
      <c r="U772" s="10">
        <f t="shared" si="82"/>
        <v>0</v>
      </c>
      <c r="W772" s="1"/>
      <c r="X772" s="10"/>
    </row>
    <row r="773" spans="1:24" ht="13.5" hidden="1" customHeight="1" x14ac:dyDescent="0.25">
      <c r="A773" s="1" t="str">
        <f>IF(R773=0,"",COUNTIF(A$23:A772,"&gt;0")+1)</f>
        <v/>
      </c>
      <c r="B773" s="784"/>
      <c r="C773" s="785" t="s">
        <v>587</v>
      </c>
      <c r="D773" s="786" t="s">
        <v>1017</v>
      </c>
      <c r="E773" s="787"/>
      <c r="F773" s="797"/>
      <c r="G773" s="789" t="s">
        <v>1018</v>
      </c>
      <c r="H773" s="789"/>
      <c r="I773" s="790"/>
      <c r="J773" s="791"/>
      <c r="K773" s="792">
        <f>IF(VLOOKUP(D773,A!A$1:O$767,11,FALSE)="y",1,0)</f>
        <v>0</v>
      </c>
      <c r="L773" s="792">
        <f>IF(VLOOKUP(D773,A!A$1:O$767,12,FALSE)="y",1,0)</f>
        <v>0</v>
      </c>
      <c r="M773" s="793"/>
      <c r="N773" s="791">
        <f>VLOOKUP(D773,A!A$1:O$767,13,FALSE)</f>
        <v>0</v>
      </c>
      <c r="O773" s="794">
        <v>4</v>
      </c>
      <c r="P773" s="10">
        <f>VLOOKUP(D773,A!A$1:O$767,9,FALSE)</f>
        <v>0</v>
      </c>
      <c r="Q773" s="10" t="s">
        <v>968</v>
      </c>
      <c r="R773" s="10">
        <f t="shared" si="81"/>
        <v>0</v>
      </c>
      <c r="S773" s="10">
        <f>VLOOKUP(D773,A!A$1:AK$767,32,FALSE)</f>
        <v>35</v>
      </c>
      <c r="T773" s="10">
        <v>0.125</v>
      </c>
      <c r="U773" s="10">
        <f t="shared" si="82"/>
        <v>0</v>
      </c>
      <c r="W773" s="1"/>
      <c r="X773" s="10"/>
    </row>
    <row r="774" spans="1:24" ht="11.25" hidden="1" customHeight="1" x14ac:dyDescent="0.25">
      <c r="A774" s="1" t="str">
        <f>IF(R774=0,"",COUNTIF(A$23:A773,"&gt;0")+1)</f>
        <v/>
      </c>
      <c r="B774" s="784"/>
      <c r="C774" s="785" t="s">
        <v>587</v>
      </c>
      <c r="D774" s="786" t="s">
        <v>1019</v>
      </c>
      <c r="E774" s="787"/>
      <c r="F774" s="797" t="s">
        <v>1350</v>
      </c>
      <c r="G774" s="789" t="s">
        <v>1020</v>
      </c>
      <c r="H774" s="789"/>
      <c r="I774" s="790"/>
      <c r="J774" s="791"/>
      <c r="K774" s="792">
        <f>IF(VLOOKUP(D774,A!A$1:O$767,11,FALSE)="y",1,0)</f>
        <v>0</v>
      </c>
      <c r="L774" s="792">
        <f>IF(VLOOKUP(D774,A!A$1:O$767,12,FALSE)="y",1,0)</f>
        <v>0</v>
      </c>
      <c r="M774" s="793"/>
      <c r="N774" s="791">
        <f>VLOOKUP(D774,A!A$1:O$767,13,FALSE)</f>
        <v>0</v>
      </c>
      <c r="O774" s="794">
        <v>4</v>
      </c>
      <c r="P774" s="10">
        <f>VLOOKUP(D774,A!A$1:O$767,9,FALSE)</f>
        <v>0</v>
      </c>
      <c r="Q774" s="10" t="s">
        <v>968</v>
      </c>
      <c r="R774" s="10">
        <f t="shared" si="81"/>
        <v>0</v>
      </c>
      <c r="S774" s="10">
        <f>VLOOKUP(D774,A!A$1:AK$767,32,FALSE)</f>
        <v>35</v>
      </c>
      <c r="T774" s="10">
        <v>0.125</v>
      </c>
      <c r="U774" s="10">
        <f t="shared" si="82"/>
        <v>0</v>
      </c>
      <c r="W774" s="1"/>
      <c r="X774" s="10"/>
    </row>
    <row r="775" spans="1:24" ht="13.5" hidden="1" customHeight="1" x14ac:dyDescent="0.25">
      <c r="A775" s="1" t="str">
        <f>IF(R775=0,"",COUNTIF(A$23:A774,"&gt;0")+1)</f>
        <v/>
      </c>
      <c r="B775" s="784"/>
      <c r="C775" s="785" t="s">
        <v>587</v>
      </c>
      <c r="D775" s="786" t="s">
        <v>1021</v>
      </c>
      <c r="E775" s="787"/>
      <c r="F775" s="797"/>
      <c r="G775" s="789"/>
      <c r="H775" s="789"/>
      <c r="I775" s="790"/>
      <c r="J775" s="791"/>
      <c r="K775" s="792">
        <f>IF(VLOOKUP(D775,A!A$1:O$767,11,FALSE)="y",1,0)</f>
        <v>0</v>
      </c>
      <c r="L775" s="792">
        <f>IF(VLOOKUP(D775,A!A$1:O$767,12,FALSE)="y",1,0)</f>
        <v>0</v>
      </c>
      <c r="M775" s="793"/>
      <c r="N775" s="791">
        <f>VLOOKUP(D775,A!A$1:O$767,13,FALSE)</f>
        <v>0</v>
      </c>
      <c r="O775" s="794">
        <v>4</v>
      </c>
      <c r="P775" s="10">
        <f>VLOOKUP(D775,A!A$1:O$767,9,FALSE)</f>
        <v>0</v>
      </c>
      <c r="Q775" s="10" t="s">
        <v>968</v>
      </c>
      <c r="R775" s="10">
        <f t="shared" si="81"/>
        <v>0</v>
      </c>
      <c r="S775" s="10">
        <f>VLOOKUP(D775,A!A$1:AK$767,32,FALSE)</f>
        <v>35</v>
      </c>
      <c r="T775" s="10">
        <v>0.125</v>
      </c>
      <c r="U775" s="10">
        <f t="shared" si="82"/>
        <v>0</v>
      </c>
      <c r="W775" s="1"/>
      <c r="X775" s="10"/>
    </row>
    <row r="776" spans="1:24" ht="13.5" hidden="1" customHeight="1" x14ac:dyDescent="0.25">
      <c r="A776" s="1" t="str">
        <f>IF(R776=0,"",COUNTIF(A$23:A775,"&gt;0")+1)</f>
        <v/>
      </c>
      <c r="B776" s="784"/>
      <c r="C776" s="785" t="s">
        <v>587</v>
      </c>
      <c r="D776" s="786" t="s">
        <v>1022</v>
      </c>
      <c r="E776" s="787"/>
      <c r="F776" s="797"/>
      <c r="G776" s="789"/>
      <c r="H776" s="789"/>
      <c r="I776" s="790"/>
      <c r="J776" s="791"/>
      <c r="K776" s="792">
        <f>IF(VLOOKUP(D776,A!A$1:O$767,11,FALSE)="y",1,0)</f>
        <v>0</v>
      </c>
      <c r="L776" s="792">
        <f>IF(VLOOKUP(D776,A!A$1:O$767,12,FALSE)="y",1,0)</f>
        <v>0</v>
      </c>
      <c r="M776" s="793"/>
      <c r="N776" s="791">
        <f>VLOOKUP(D776,A!A$1:O$767,13,FALSE)</f>
        <v>0</v>
      </c>
      <c r="O776" s="794">
        <v>4</v>
      </c>
      <c r="P776" s="10">
        <f>VLOOKUP(D776,A!A$1:O$767,9,FALSE)</f>
        <v>0</v>
      </c>
      <c r="Q776" s="10" t="s">
        <v>968</v>
      </c>
      <c r="R776" s="10">
        <f t="shared" si="81"/>
        <v>0</v>
      </c>
      <c r="S776" s="10">
        <f>VLOOKUP(D776,A!A$1:AK$767,32,FALSE)</f>
        <v>35</v>
      </c>
      <c r="T776" s="10">
        <v>0.125</v>
      </c>
      <c r="U776" s="10">
        <f t="shared" si="82"/>
        <v>0</v>
      </c>
      <c r="W776" s="1"/>
      <c r="X776" s="10"/>
    </row>
    <row r="777" spans="1:24" ht="13.5" hidden="1" customHeight="1" x14ac:dyDescent="0.25">
      <c r="A777" s="1" t="str">
        <f>IF(R777=0,"",COUNTIF(A$23:A776,"&gt;0")+1)</f>
        <v/>
      </c>
      <c r="B777" s="784"/>
      <c r="C777" s="785" t="s">
        <v>587</v>
      </c>
      <c r="D777" s="786" t="s">
        <v>1023</v>
      </c>
      <c r="E777" s="787"/>
      <c r="F777" s="797"/>
      <c r="G777" s="789" t="s">
        <v>1024</v>
      </c>
      <c r="H777" s="789"/>
      <c r="I777" s="790"/>
      <c r="J777" s="791"/>
      <c r="K777" s="792">
        <f>IF(VLOOKUP(D777,A!A$1:O$767,11,FALSE)="y",1,0)</f>
        <v>0</v>
      </c>
      <c r="L777" s="792">
        <f>IF(VLOOKUP(D777,A!A$1:O$767,12,FALSE)="y",1,0)</f>
        <v>0</v>
      </c>
      <c r="M777" s="793"/>
      <c r="N777" s="791">
        <f>VLOOKUP(D777,A!A$1:O$767,13,FALSE)</f>
        <v>0</v>
      </c>
      <c r="O777" s="794">
        <v>4</v>
      </c>
      <c r="P777" s="10">
        <f>VLOOKUP(D777,A!A$1:O$767,9,FALSE)</f>
        <v>0</v>
      </c>
      <c r="Q777" s="10" t="s">
        <v>968</v>
      </c>
      <c r="R777" s="10">
        <f t="shared" si="81"/>
        <v>0</v>
      </c>
      <c r="S777" s="10">
        <f>VLOOKUP(D777,A!A$1:AK$767,32,FALSE)</f>
        <v>35</v>
      </c>
      <c r="T777" s="10">
        <v>0.125</v>
      </c>
      <c r="U777" s="10">
        <f t="shared" si="82"/>
        <v>0</v>
      </c>
      <c r="W777" s="1"/>
      <c r="X777" s="10"/>
    </row>
    <row r="778" spans="1:24" ht="14.25" hidden="1" customHeight="1" x14ac:dyDescent="0.25">
      <c r="A778" s="1" t="str">
        <f>IF(R778=0,"",COUNTIF(A$23:A777,"&gt;0")+1)</f>
        <v/>
      </c>
      <c r="B778" s="784"/>
      <c r="C778" s="785" t="s">
        <v>587</v>
      </c>
      <c r="D778" s="786" t="s">
        <v>1025</v>
      </c>
      <c r="E778" s="787"/>
      <c r="F778" s="797"/>
      <c r="G778" s="789" t="s">
        <v>1026</v>
      </c>
      <c r="H778" s="789"/>
      <c r="I778" s="790"/>
      <c r="J778" s="791"/>
      <c r="K778" s="792">
        <f>IF(VLOOKUP(D778,A!A$1:O$767,11,FALSE)="y",1,0)</f>
        <v>0</v>
      </c>
      <c r="L778" s="792">
        <f>IF(VLOOKUP(D778,A!A$1:O$767,12,FALSE)="y",1,0)</f>
        <v>0</v>
      </c>
      <c r="M778" s="793"/>
      <c r="N778" s="791">
        <f>VLOOKUP(D778,A!A$1:O$767,13,FALSE)</f>
        <v>0</v>
      </c>
      <c r="O778" s="794">
        <v>4</v>
      </c>
      <c r="P778" s="10">
        <f>VLOOKUP(D778,A!A$1:O$767,9,FALSE)</f>
        <v>0</v>
      </c>
      <c r="Q778" s="10" t="s">
        <v>968</v>
      </c>
      <c r="R778" s="10">
        <f t="shared" si="81"/>
        <v>0</v>
      </c>
      <c r="S778" s="10">
        <f>VLOOKUP(D778,A!A$1:AK$767,32,FALSE)</f>
        <v>35</v>
      </c>
      <c r="T778" s="10">
        <v>0.125</v>
      </c>
      <c r="U778" s="10">
        <f t="shared" si="82"/>
        <v>0</v>
      </c>
      <c r="W778" s="1"/>
      <c r="X778" s="10"/>
    </row>
    <row r="779" spans="1:24" ht="11.25" hidden="1" customHeight="1" x14ac:dyDescent="0.25">
      <c r="A779" s="1" t="str">
        <f>IF(R779=0,"",COUNTIF(A$23:A778,"&gt;0")+1)</f>
        <v/>
      </c>
      <c r="B779" s="784"/>
      <c r="C779" s="785" t="s">
        <v>587</v>
      </c>
      <c r="D779" s="786" t="s">
        <v>1027</v>
      </c>
      <c r="E779" s="787"/>
      <c r="F779" s="797" t="s">
        <v>1350</v>
      </c>
      <c r="G779" s="789" t="s">
        <v>1346</v>
      </c>
      <c r="H779" s="789"/>
      <c r="I779" s="790"/>
      <c r="J779" s="791"/>
      <c r="K779" s="792">
        <f>IF(VLOOKUP(D779,A!A$1:O$767,11,FALSE)="y",1,0)</f>
        <v>0</v>
      </c>
      <c r="L779" s="792">
        <f>IF(VLOOKUP(D779,A!A$1:O$767,12,FALSE)="y",1,0)</f>
        <v>0</v>
      </c>
      <c r="M779" s="793"/>
      <c r="N779" s="791">
        <f>VLOOKUP(D779,A!A$1:O$767,13,FALSE)</f>
        <v>0</v>
      </c>
      <c r="O779" s="794">
        <v>4</v>
      </c>
      <c r="P779" s="10">
        <f>VLOOKUP(D779,A!A$1:O$767,9,FALSE)</f>
        <v>0</v>
      </c>
      <c r="Q779" s="10" t="s">
        <v>968</v>
      </c>
      <c r="R779" s="10">
        <f t="shared" si="81"/>
        <v>0</v>
      </c>
      <c r="S779" s="10">
        <f>VLOOKUP(D779,A!A$1:AK$767,32,FALSE)</f>
        <v>35</v>
      </c>
      <c r="T779" s="10">
        <v>0.125</v>
      </c>
      <c r="U779" s="10">
        <f t="shared" si="82"/>
        <v>0</v>
      </c>
      <c r="W779" s="1"/>
      <c r="X779" s="10"/>
    </row>
    <row r="780" spans="1:24" ht="11.25" hidden="1" customHeight="1" x14ac:dyDescent="0.25">
      <c r="A780" s="1" t="str">
        <f>IF(R780=0,"",COUNTIF(A$23:A779,"&gt;0")+1)</f>
        <v/>
      </c>
      <c r="B780" s="784"/>
      <c r="C780" s="785" t="s">
        <v>587</v>
      </c>
      <c r="D780" s="786" t="s">
        <v>1028</v>
      </c>
      <c r="E780" s="787"/>
      <c r="F780" s="797" t="s">
        <v>1350</v>
      </c>
      <c r="G780" s="789" t="s">
        <v>1029</v>
      </c>
      <c r="H780" s="789"/>
      <c r="I780" s="790"/>
      <c r="J780" s="791"/>
      <c r="K780" s="792">
        <f>IF(VLOOKUP(D780,A!A$1:O$767,11,FALSE)="y",1,0)</f>
        <v>0</v>
      </c>
      <c r="L780" s="792">
        <f>IF(VLOOKUP(D780,A!A$1:O$767,12,FALSE)="y",1,0)</f>
        <v>0</v>
      </c>
      <c r="M780" s="793"/>
      <c r="N780" s="791">
        <f>VLOOKUP(D780,A!A$1:O$767,13,FALSE)</f>
        <v>0</v>
      </c>
      <c r="O780" s="794">
        <v>4</v>
      </c>
      <c r="P780" s="10">
        <f>VLOOKUP(D780,A!A$1:O$767,9,FALSE)</f>
        <v>0</v>
      </c>
      <c r="Q780" s="10" t="s">
        <v>968</v>
      </c>
      <c r="R780" s="10">
        <f t="shared" si="81"/>
        <v>0</v>
      </c>
      <c r="S780" s="10">
        <f>VLOOKUP(D780,A!A$1:AK$767,32,FALSE)</f>
        <v>35</v>
      </c>
      <c r="T780" s="10">
        <v>0.125</v>
      </c>
      <c r="U780" s="10">
        <f t="shared" si="82"/>
        <v>0</v>
      </c>
      <c r="W780" s="1"/>
      <c r="X780" s="10"/>
    </row>
    <row r="781" spans="1:24" ht="12.75" hidden="1" customHeight="1" x14ac:dyDescent="0.25">
      <c r="A781" s="1" t="str">
        <f>IF(R781=0,"",COUNTIF(A$23:A780,"&gt;0")+1)</f>
        <v/>
      </c>
      <c r="B781" s="784"/>
      <c r="C781" s="785" t="s">
        <v>587</v>
      </c>
      <c r="D781" s="786" t="s">
        <v>1030</v>
      </c>
      <c r="E781" s="787"/>
      <c r="F781" s="796"/>
      <c r="G781" s="789"/>
      <c r="H781" s="789"/>
      <c r="I781" s="790"/>
      <c r="J781" s="791"/>
      <c r="K781" s="792">
        <f>IF(VLOOKUP(D781,A!A$1:O$767,11,FALSE)="y",1,0)</f>
        <v>0</v>
      </c>
      <c r="L781" s="792">
        <f>IF(VLOOKUP(D781,A!A$1:O$767,12,FALSE)="y",1,0)</f>
        <v>0</v>
      </c>
      <c r="M781" s="793"/>
      <c r="N781" s="791">
        <f>VLOOKUP(D781,A!A$1:O$767,13,FALSE)</f>
        <v>0</v>
      </c>
      <c r="O781" s="794">
        <v>4</v>
      </c>
      <c r="P781" s="10">
        <f>VLOOKUP(D781,A!A$1:O$767,9,FALSE)</f>
        <v>0</v>
      </c>
      <c r="Q781" s="10" t="s">
        <v>968</v>
      </c>
      <c r="R781" s="10">
        <f t="shared" si="81"/>
        <v>0</v>
      </c>
      <c r="S781" s="10">
        <f>VLOOKUP(D781,A!A$1:AK$767,32,FALSE)</f>
        <v>35</v>
      </c>
      <c r="T781" s="10">
        <v>0.125</v>
      </c>
      <c r="U781" s="10">
        <f t="shared" si="82"/>
        <v>0</v>
      </c>
      <c r="W781" s="1"/>
      <c r="X781" s="10"/>
    </row>
    <row r="782" spans="1:24" ht="11.25" customHeight="1" x14ac:dyDescent="0.25">
      <c r="A782" s="1" t="str">
        <f>IF(R782=0,"",COUNTIF(A$23:A781,"&gt;0")+1)</f>
        <v/>
      </c>
      <c r="B782" s="784"/>
      <c r="C782" s="785" t="s">
        <v>587</v>
      </c>
      <c r="D782" s="786" t="s">
        <v>1031</v>
      </c>
      <c r="E782" s="787"/>
      <c r="F782" s="795" t="s">
        <v>1349</v>
      </c>
      <c r="G782" s="789" t="s">
        <v>1032</v>
      </c>
      <c r="H782" s="789"/>
      <c r="I782" s="790"/>
      <c r="J782" s="791"/>
      <c r="K782" s="792">
        <f>IF(VLOOKUP(D782,A!A$1:O$767,11,FALSE)="y",1,0)</f>
        <v>1</v>
      </c>
      <c r="L782" s="792">
        <f>IF(VLOOKUP(D782,A!A$1:O$767,12,FALSE)="y",1,0)</f>
        <v>0</v>
      </c>
      <c r="M782" s="793"/>
      <c r="N782" s="791">
        <f>VLOOKUP(D782,A!A$1:O$767,13,FALSE)</f>
        <v>0</v>
      </c>
      <c r="O782" s="794">
        <v>4</v>
      </c>
      <c r="P782" s="10" t="str">
        <f>VLOOKUP(D782,A!A$1:O$767,9,FALSE)</f>
        <v>y</v>
      </c>
      <c r="Q782" s="10" t="s">
        <v>968</v>
      </c>
      <c r="R782" s="10">
        <f t="shared" si="81"/>
        <v>0</v>
      </c>
      <c r="S782" s="10">
        <f>VLOOKUP(D782,A!A$1:AK$767,32,FALSE)</f>
        <v>35</v>
      </c>
      <c r="T782" s="10">
        <v>0.125</v>
      </c>
      <c r="U782" s="10">
        <f t="shared" si="82"/>
        <v>0</v>
      </c>
      <c r="W782" s="1"/>
      <c r="X782" s="10"/>
    </row>
    <row r="783" spans="1:24" ht="14.25" hidden="1" customHeight="1" x14ac:dyDescent="0.25">
      <c r="A783" s="1" t="str">
        <f>IF(R783=0,"",COUNTIF(A$23:A782,"&gt;0")+1)</f>
        <v/>
      </c>
      <c r="B783" s="784"/>
      <c r="C783" s="785" t="s">
        <v>587</v>
      </c>
      <c r="D783" s="786" t="s">
        <v>1033</v>
      </c>
      <c r="E783" s="787"/>
      <c r="F783" s="798"/>
      <c r="G783" s="789"/>
      <c r="H783" s="789"/>
      <c r="I783" s="790"/>
      <c r="J783" s="791"/>
      <c r="K783" s="792">
        <f>IF(VLOOKUP(D783,A!A$1:O$767,11,FALSE)="y",1,0)</f>
        <v>0</v>
      </c>
      <c r="L783" s="792">
        <f>IF(VLOOKUP(D783,A!A$1:O$767,12,FALSE)="y",1,0)</f>
        <v>0</v>
      </c>
      <c r="M783" s="793"/>
      <c r="N783" s="791">
        <f>VLOOKUP(D783,A!A$1:O$767,13,FALSE)</f>
        <v>0</v>
      </c>
      <c r="O783" s="794">
        <v>4</v>
      </c>
      <c r="P783" s="10">
        <f>VLOOKUP(D783,A!A$1:O$767,9,FALSE)</f>
        <v>0</v>
      </c>
      <c r="Q783" s="10" t="s">
        <v>968</v>
      </c>
      <c r="R783" s="10">
        <f t="shared" si="81"/>
        <v>0</v>
      </c>
      <c r="S783" s="10">
        <f>VLOOKUP(D783,A!A$1:AK$767,32,FALSE)</f>
        <v>35</v>
      </c>
      <c r="T783" s="10">
        <v>0.125</v>
      </c>
      <c r="U783" s="10">
        <f t="shared" si="82"/>
        <v>0</v>
      </c>
      <c r="W783" s="1"/>
      <c r="X783" s="10"/>
    </row>
    <row r="784" spans="1:24" ht="11.25" customHeight="1" thickBot="1" x14ac:dyDescent="0.3">
      <c r="A784" s="1" t="str">
        <f>IF(R784=0,"",COUNTIF(A$23:A783,"&gt;0")+1)</f>
        <v/>
      </c>
      <c r="B784" s="1070"/>
      <c r="C784" s="1071" t="s">
        <v>587</v>
      </c>
      <c r="D784" s="1072" t="s">
        <v>1034</v>
      </c>
      <c r="E784" s="1073"/>
      <c r="F784" s="1074" t="s">
        <v>1417</v>
      </c>
      <c r="G784" s="1075" t="s">
        <v>1035</v>
      </c>
      <c r="H784" s="1075"/>
      <c r="I784" s="1076"/>
      <c r="J784" s="1077"/>
      <c r="K784" s="1078">
        <f>IF(VLOOKUP(D784,A!A$1:O$767,11,FALSE)="y",1,0)</f>
        <v>1</v>
      </c>
      <c r="L784" s="1078">
        <f>IF(VLOOKUP(D784,A!A$1:O$767,12,FALSE)="y",1,0)</f>
        <v>1</v>
      </c>
      <c r="M784" s="1079"/>
      <c r="N784" s="1077" t="str">
        <f>VLOOKUP(D784,A!A$1:O$767,13,FALSE)</f>
        <v>y</v>
      </c>
      <c r="O784" s="1080">
        <v>4</v>
      </c>
      <c r="P784" s="10" t="str">
        <f>VLOOKUP(D784,A!A$1:O$767,9,FALSE)</f>
        <v>y</v>
      </c>
      <c r="Q784" s="10" t="s">
        <v>968</v>
      </c>
      <c r="R784" s="10">
        <f t="shared" si="81"/>
        <v>0</v>
      </c>
      <c r="S784" s="10">
        <f>VLOOKUP(D784,A!A$1:AK$767,32,FALSE)</f>
        <v>35</v>
      </c>
      <c r="T784" s="10">
        <v>0.125</v>
      </c>
      <c r="U784" s="10">
        <f t="shared" si="82"/>
        <v>0</v>
      </c>
      <c r="W784" s="1"/>
      <c r="X784" s="10"/>
    </row>
    <row r="785" spans="1:24" hidden="1" x14ac:dyDescent="0.25">
      <c r="A785" s="1" t="str">
        <f>IF(R785=0,"",COUNTIF(A$23:A784,"&gt;0")+1)</f>
        <v/>
      </c>
      <c r="B785" s="308"/>
      <c r="C785" s="164" t="s">
        <v>587</v>
      </c>
      <c r="D785" s="165" t="s">
        <v>1036</v>
      </c>
      <c r="E785" s="166"/>
      <c r="F785" s="690"/>
      <c r="G785" s="168"/>
      <c r="H785" s="168"/>
      <c r="I785" s="377"/>
      <c r="J785" s="150"/>
      <c r="K785" s="1069">
        <f>IF(VLOOKUP(D785,A!A$1:O$767,11,FALSE)="y",1,0)</f>
        <v>0</v>
      </c>
      <c r="L785" s="378">
        <f>IF(VLOOKUP(D785,A!A$1:O$767,12,FALSE)="y",1,0)</f>
        <v>0</v>
      </c>
      <c r="M785" s="706"/>
      <c r="N785" s="150">
        <f>VLOOKUP(D785,A!A$1:O$767,13,FALSE)</f>
        <v>0</v>
      </c>
      <c r="O785" s="311">
        <v>4</v>
      </c>
      <c r="P785" s="10">
        <f>VLOOKUP(D785,A!A$1:O$767,9,FALSE)</f>
        <v>0</v>
      </c>
      <c r="Q785" s="10" t="s">
        <v>968</v>
      </c>
      <c r="R785" s="10">
        <f t="shared" si="81"/>
        <v>0</v>
      </c>
      <c r="S785" s="10">
        <f>VLOOKUP(D785,A!A$1:AK$767,32,FALSE)</f>
        <v>35</v>
      </c>
      <c r="T785" s="10">
        <v>0.125</v>
      </c>
      <c r="U785" s="10">
        <f t="shared" si="82"/>
        <v>0</v>
      </c>
      <c r="W785" s="1"/>
      <c r="X785" s="10"/>
    </row>
    <row r="786" spans="1:24" hidden="1" x14ac:dyDescent="0.25">
      <c r="A786" s="1" t="str">
        <f>IF(R786=0,"",COUNTIF(A$23:A785,"&gt;0")+1)</f>
        <v/>
      </c>
      <c r="B786" s="312"/>
      <c r="C786" s="63" t="s">
        <v>587</v>
      </c>
      <c r="D786" s="64" t="s">
        <v>1037</v>
      </c>
      <c r="E786" s="65"/>
      <c r="F786" s="688" t="s">
        <v>1349</v>
      </c>
      <c r="G786" s="66" t="s">
        <v>1038</v>
      </c>
      <c r="H786" s="66"/>
      <c r="I786" s="376"/>
      <c r="J786" s="67"/>
      <c r="K786" s="792">
        <f>IF(VLOOKUP(D786,A!A$1:O$767,11,FALSE)="y",1,0)</f>
        <v>0</v>
      </c>
      <c r="L786" s="68">
        <f>IF(VLOOKUP(D786,A!A$1:O$767,12,FALSE)="y",1,0)</f>
        <v>0</v>
      </c>
      <c r="M786" s="706"/>
      <c r="N786" s="150">
        <f>VLOOKUP(D786,A!A$1:O$767,13,FALSE)</f>
        <v>0</v>
      </c>
      <c r="O786" s="313">
        <v>4</v>
      </c>
      <c r="P786" s="10">
        <f>VLOOKUP(D786,A!A$1:O$767,9,FALSE)</f>
        <v>0</v>
      </c>
      <c r="Q786" s="10" t="s">
        <v>968</v>
      </c>
      <c r="R786" s="10">
        <f t="shared" si="81"/>
        <v>0</v>
      </c>
      <c r="S786" s="10">
        <f>VLOOKUP(D786,A!A$1:AK$767,32,FALSE)</f>
        <v>35</v>
      </c>
      <c r="T786" s="10">
        <v>0.125</v>
      </c>
      <c r="U786" s="10">
        <f t="shared" si="82"/>
        <v>0</v>
      </c>
      <c r="W786" s="1"/>
      <c r="X786" s="10"/>
    </row>
    <row r="787" spans="1:24" ht="11.25" hidden="1" customHeight="1" thickBot="1" x14ac:dyDescent="0.3">
      <c r="A787" s="1" t="str">
        <f>IF(R787=0,"",COUNTIF(A$23:A786,"&gt;0")+1)</f>
        <v/>
      </c>
      <c r="B787" s="316"/>
      <c r="C787" s="803" t="s">
        <v>587</v>
      </c>
      <c r="D787" s="318" t="s">
        <v>1410</v>
      </c>
      <c r="E787" s="305"/>
      <c r="F787" s="304" t="s">
        <v>1348</v>
      </c>
      <c r="G787" s="804" t="s">
        <v>1412</v>
      </c>
      <c r="H787" s="305"/>
      <c r="I787" s="305"/>
      <c r="J787" s="305"/>
      <c r="K787" s="1020">
        <f>IF(VLOOKUP(D787,A!A$1:O$767,11,FALSE)="y",1,0)</f>
        <v>0</v>
      </c>
      <c r="L787" s="305"/>
      <c r="M787" s="805"/>
      <c r="N787" s="305"/>
      <c r="O787" s="324">
        <v>4</v>
      </c>
      <c r="P787" s="10">
        <f>VLOOKUP(D787,A!A$1:O$767,9,FALSE)</f>
        <v>0</v>
      </c>
      <c r="Q787" s="10" t="s">
        <v>968</v>
      </c>
      <c r="R787" s="10">
        <f t="shared" ref="R787" si="83">B787</f>
        <v>0</v>
      </c>
      <c r="S787" s="10">
        <f>VLOOKUP(D787,A!A$1:AK$767,32,FALSE)</f>
        <v>35</v>
      </c>
      <c r="T787" s="10">
        <v>0.125</v>
      </c>
      <c r="U787" s="10">
        <f t="shared" ref="U787" si="84">T787*B787</f>
        <v>0</v>
      </c>
      <c r="W787" s="1"/>
      <c r="X787" s="10"/>
    </row>
    <row r="788" spans="1:24" ht="13.5" customHeight="1" x14ac:dyDescent="0.25">
      <c r="A788" s="1" t="str">
        <f>IF(R788=0,"",COUNTIF(A$23:A787,"&gt;0")+1)</f>
        <v/>
      </c>
      <c r="B788" s="58">
        <f>SUM(B739:B787)</f>
        <v>0</v>
      </c>
      <c r="C788" s="257" t="s">
        <v>587</v>
      </c>
      <c r="D788" s="172" t="s">
        <v>1041</v>
      </c>
      <c r="O788" s="249"/>
      <c r="P788" s="10"/>
      <c r="Q788" s="10" t="s">
        <v>968</v>
      </c>
      <c r="R788" s="10">
        <f t="shared" si="81"/>
        <v>0</v>
      </c>
      <c r="S788" s="10"/>
      <c r="T788" s="10"/>
      <c r="U788" s="10"/>
      <c r="W788" s="1"/>
      <c r="X788" s="10"/>
    </row>
    <row r="789" spans="1:24" ht="6" customHeight="1" x14ac:dyDescent="0.25">
      <c r="A789" s="1" t="str">
        <f>IF(R789=0,"",COUNTIF(A$23:A788,"&gt;0")+1)</f>
        <v/>
      </c>
      <c r="B789" s="534"/>
      <c r="P789" s="10"/>
      <c r="Q789" s="10"/>
      <c r="R789" s="10"/>
      <c r="S789" s="10"/>
      <c r="T789" s="10"/>
      <c r="U789" s="10"/>
      <c r="W789" s="1"/>
      <c r="X789" s="10"/>
    </row>
    <row r="790" spans="1:24" ht="9.75" hidden="1" customHeight="1" thickBot="1" x14ac:dyDescent="0.3">
      <c r="A790" s="1" t="str">
        <f>IF(R790=0,"",COUNTIF(A$23:A789,"&gt;0")+1)</f>
        <v/>
      </c>
      <c r="B790" s="1291" t="s">
        <v>41</v>
      </c>
      <c r="C790" s="1291"/>
      <c r="D790" s="1219" t="s">
        <v>1369</v>
      </c>
      <c r="E790" s="1219"/>
      <c r="F790" s="1219"/>
      <c r="G790" s="1219"/>
      <c r="H790" s="1294" t="s">
        <v>1042</v>
      </c>
      <c r="I790" s="328" t="s">
        <v>1043</v>
      </c>
      <c r="J790" s="328"/>
      <c r="K790" s="328"/>
      <c r="L790" s="328"/>
      <c r="M790" s="328"/>
      <c r="N790" s="328"/>
      <c r="O790" s="329"/>
      <c r="P790" s="10"/>
      <c r="Q790" s="10"/>
      <c r="R790" s="10"/>
      <c r="S790" s="10"/>
      <c r="T790" s="10"/>
      <c r="U790" s="10"/>
      <c r="W790" s="1"/>
      <c r="X790" s="10"/>
    </row>
    <row r="791" spans="1:24" ht="9.75" hidden="1" customHeight="1" thickBot="1" x14ac:dyDescent="0.3">
      <c r="A791" s="1" t="str">
        <f>IF(R791=0,"",COUNTIF(A$23:A790,"&gt;0")+1)</f>
        <v/>
      </c>
      <c r="B791" s="1220" t="s">
        <v>774</v>
      </c>
      <c r="C791" s="1220"/>
      <c r="D791" s="1219"/>
      <c r="E791" s="1219"/>
      <c r="F791" s="1219"/>
      <c r="G791" s="1219"/>
      <c r="H791" s="1294"/>
      <c r="I791" s="330"/>
      <c r="J791" s="331"/>
      <c r="K791" s="331"/>
      <c r="L791" s="331"/>
      <c r="M791" s="371"/>
      <c r="N791" s="331"/>
      <c r="O791" s="379" t="s">
        <v>48</v>
      </c>
      <c r="P791" s="12"/>
      <c r="Q791" s="10"/>
      <c r="R791" s="10"/>
      <c r="S791" s="10"/>
      <c r="T791" s="10"/>
      <c r="U791" s="10"/>
      <c r="W791" s="1"/>
      <c r="X791" s="10"/>
    </row>
    <row r="792" spans="1:24" ht="11.25" hidden="1" customHeight="1" x14ac:dyDescent="0.25">
      <c r="A792" s="1" t="str">
        <f>IF(R792=0,"",COUNTIF(A$23:A791,"&gt;0")+1)</f>
        <v/>
      </c>
      <c r="B792" s="333"/>
      <c r="C792" s="334" t="s">
        <v>42</v>
      </c>
      <c r="D792" s="335" t="s">
        <v>967</v>
      </c>
      <c r="E792" s="336"/>
      <c r="F792" s="336"/>
      <c r="G792" s="338" t="s">
        <v>1045</v>
      </c>
      <c r="H792" s="338"/>
      <c r="I792" s="340"/>
      <c r="J792" s="340"/>
      <c r="K792" s="68">
        <v>1</v>
      </c>
      <c r="L792" s="378"/>
      <c r="M792" s="706"/>
      <c r="N792" s="150">
        <f>VLOOKUP(D792,A!A$1:V$767,20,FALSE)</f>
        <v>0</v>
      </c>
      <c r="O792" s="343">
        <v>4</v>
      </c>
      <c r="P792" s="10" t="s">
        <v>66</v>
      </c>
      <c r="Q792" s="10" t="s">
        <v>1046</v>
      </c>
      <c r="R792" s="10">
        <f t="shared" ref="R792:R830" si="85">B792</f>
        <v>0</v>
      </c>
      <c r="S792" s="10">
        <v>35</v>
      </c>
      <c r="T792" s="380">
        <v>8.3000000000000004E-2</v>
      </c>
      <c r="U792" s="10">
        <f t="shared" ref="U792:U829" si="86">T792*B792</f>
        <v>0</v>
      </c>
      <c r="W792" s="1"/>
      <c r="X792" s="10"/>
    </row>
    <row r="793" spans="1:24" ht="11.25" hidden="1" customHeight="1" x14ac:dyDescent="0.25">
      <c r="A793" s="1" t="str">
        <f>IF(R793=0,"",COUNTIF(A$23:A792,"&gt;0")+1)</f>
        <v/>
      </c>
      <c r="B793" s="312"/>
      <c r="C793" s="164" t="s">
        <v>42</v>
      </c>
      <c r="D793" s="165" t="s">
        <v>969</v>
      </c>
      <c r="E793" s="166"/>
      <c r="F793" s="166"/>
      <c r="G793" s="168" t="s">
        <v>970</v>
      </c>
      <c r="H793" s="168"/>
      <c r="I793" s="150"/>
      <c r="J793" s="150"/>
      <c r="K793" s="68">
        <f>IF(VLOOKUP(D793,A!A$1:O$767,11,FALSE)="y",1,0)</f>
        <v>0</v>
      </c>
      <c r="L793" s="68"/>
      <c r="M793" s="149" t="str">
        <f>IF(VLOOKUP(D793,A!A$1:V$767,17,FALSE)="y","NEW","")</f>
        <v/>
      </c>
      <c r="N793" s="150">
        <f>VLOOKUP(D793,A!A$1:V$767,20,FALSE)</f>
        <v>0</v>
      </c>
      <c r="O793" s="311">
        <v>4</v>
      </c>
      <c r="P793" s="10"/>
      <c r="Q793" s="10" t="s">
        <v>1046</v>
      </c>
      <c r="R793" s="10">
        <f t="shared" si="85"/>
        <v>0</v>
      </c>
      <c r="S793" s="10">
        <v>35</v>
      </c>
      <c r="T793" s="380">
        <v>8.3000000000000004E-2</v>
      </c>
      <c r="U793" s="10">
        <f t="shared" si="86"/>
        <v>0</v>
      </c>
      <c r="W793" s="1"/>
      <c r="X793" s="10"/>
    </row>
    <row r="794" spans="1:24" ht="11.25" hidden="1" customHeight="1" x14ac:dyDescent="0.25">
      <c r="A794" s="1" t="str">
        <f>IF(R794=0,"",COUNTIF(A$23:A793,"&gt;0")+1)</f>
        <v/>
      </c>
      <c r="B794" s="312"/>
      <c r="C794" s="63" t="s">
        <v>42</v>
      </c>
      <c r="D794" s="64" t="s">
        <v>971</v>
      </c>
      <c r="E794" s="65"/>
      <c r="F794" s="65"/>
      <c r="G794" s="66" t="s">
        <v>972</v>
      </c>
      <c r="H794" s="66"/>
      <c r="I794" s="67"/>
      <c r="J794" s="67"/>
      <c r="K794" s="68"/>
      <c r="L794" s="68"/>
      <c r="M794" s="149" t="str">
        <f>IF(VLOOKUP(D794,A!A$1:V$767,17,FALSE)="y","NEW","")</f>
        <v/>
      </c>
      <c r="N794" s="150">
        <f>VLOOKUP(D794,A!A$1:V$767,20,FALSE)</f>
        <v>0</v>
      </c>
      <c r="O794" s="313">
        <v>4</v>
      </c>
      <c r="P794" s="10"/>
      <c r="Q794" s="10" t="s">
        <v>1046</v>
      </c>
      <c r="R794" s="10">
        <f t="shared" si="85"/>
        <v>0</v>
      </c>
      <c r="S794" s="10">
        <f>VLOOKUP(D794,A!A$1:AK$767,33,FALSE)</f>
        <v>0</v>
      </c>
      <c r="T794" s="380">
        <v>0.83299999999999996</v>
      </c>
      <c r="U794" s="10">
        <f t="shared" si="86"/>
        <v>0</v>
      </c>
      <c r="W794" s="1"/>
      <c r="X794" s="10"/>
    </row>
    <row r="795" spans="1:24" ht="11.25" hidden="1" customHeight="1" x14ac:dyDescent="0.25">
      <c r="A795" s="1" t="str">
        <f>IF(R795=0,"",COUNTIF(A$23:A794,"&gt;0")+1)</f>
        <v/>
      </c>
      <c r="B795" s="312"/>
      <c r="C795" s="63" t="s">
        <v>42</v>
      </c>
      <c r="D795" s="64" t="s">
        <v>973</v>
      </c>
      <c r="E795" s="65"/>
      <c r="F795" s="65"/>
      <c r="G795" s="66" t="s">
        <v>974</v>
      </c>
      <c r="H795" s="66"/>
      <c r="I795" s="67"/>
      <c r="J795" s="67"/>
      <c r="K795" s="68"/>
      <c r="L795" s="68"/>
      <c r="M795" s="149" t="str">
        <f>IF(VLOOKUP(D795,A!A$1:V$767,17,FALSE)="y","NEW","")</f>
        <v/>
      </c>
      <c r="N795" s="150">
        <f>VLOOKUP(D795,A!A$1:V$767,20,FALSE)</f>
        <v>0</v>
      </c>
      <c r="O795" s="313">
        <v>4</v>
      </c>
      <c r="P795" s="10"/>
      <c r="Q795" s="10" t="s">
        <v>1046</v>
      </c>
      <c r="R795" s="10">
        <f t="shared" si="85"/>
        <v>0</v>
      </c>
      <c r="S795" s="10">
        <v>35</v>
      </c>
      <c r="T795" s="380">
        <v>8.3000000000000004E-2</v>
      </c>
      <c r="U795" s="10">
        <f t="shared" si="86"/>
        <v>0</v>
      </c>
      <c r="W795" s="1"/>
      <c r="X795" s="10"/>
    </row>
    <row r="796" spans="1:24" ht="11.25" hidden="1" customHeight="1" x14ac:dyDescent="0.25">
      <c r="A796" s="1" t="str">
        <f>IF(R796=0,"",COUNTIF(A$23:A795,"&gt;0")+1)</f>
        <v/>
      </c>
      <c r="B796" s="312"/>
      <c r="C796" s="63" t="s">
        <v>42</v>
      </c>
      <c r="D796" s="64" t="s">
        <v>975</v>
      </c>
      <c r="E796" s="65"/>
      <c r="F796" s="65"/>
      <c r="G796" s="66"/>
      <c r="H796" s="66"/>
      <c r="I796" s="67"/>
      <c r="J796" s="67"/>
      <c r="K796" s="68"/>
      <c r="L796" s="68"/>
      <c r="M796" s="149" t="str">
        <f>IF(VLOOKUP(D796,A!A$1:V$767,17,FALSE)="y","NEW","")</f>
        <v/>
      </c>
      <c r="N796" s="150">
        <f>VLOOKUP(D796,A!A$1:V$767,20,FALSE)</f>
        <v>0</v>
      </c>
      <c r="O796" s="313">
        <v>4</v>
      </c>
      <c r="P796" s="10"/>
      <c r="Q796" s="10" t="s">
        <v>1046</v>
      </c>
      <c r="R796" s="10">
        <f t="shared" si="85"/>
        <v>0</v>
      </c>
      <c r="S796" s="10">
        <f>VLOOKUP(D796,A!A$1:AK$767,33,FALSE)</f>
        <v>0</v>
      </c>
      <c r="T796" s="380">
        <v>0.83299999999999996</v>
      </c>
      <c r="U796" s="10">
        <f t="shared" si="86"/>
        <v>0</v>
      </c>
      <c r="W796" s="1"/>
      <c r="X796" s="10"/>
    </row>
    <row r="797" spans="1:24" ht="11.25" hidden="1" customHeight="1" x14ac:dyDescent="0.25">
      <c r="A797" s="1" t="str">
        <f>IF(R797=0,"",COUNTIF(A$23:A796,"&gt;0")+1)</f>
        <v/>
      </c>
      <c r="B797" s="312"/>
      <c r="C797" s="63" t="s">
        <v>42</v>
      </c>
      <c r="D797" s="64" t="s">
        <v>976</v>
      </c>
      <c r="E797" s="65"/>
      <c r="F797" s="65"/>
      <c r="G797" s="66" t="s">
        <v>977</v>
      </c>
      <c r="H797" s="66"/>
      <c r="I797" s="67"/>
      <c r="J797" s="67"/>
      <c r="K797" s="68"/>
      <c r="L797" s="68"/>
      <c r="M797" s="149" t="str">
        <f>IF(VLOOKUP(D797,A!A$1:V$767,17,FALSE)="y","NEW","")</f>
        <v/>
      </c>
      <c r="N797" s="150">
        <f>VLOOKUP(D797,A!A$1:V$767,20,FALSE)</f>
        <v>0</v>
      </c>
      <c r="O797" s="313">
        <v>4</v>
      </c>
      <c r="P797" s="10"/>
      <c r="Q797" s="10" t="s">
        <v>1046</v>
      </c>
      <c r="R797" s="10">
        <f t="shared" si="85"/>
        <v>0</v>
      </c>
      <c r="S797" s="10">
        <f>VLOOKUP(D797,A!A$1:AK$767,33,FALSE)</f>
        <v>0</v>
      </c>
      <c r="T797" s="380">
        <v>0.83299999999999996</v>
      </c>
      <c r="U797" s="10">
        <f t="shared" si="86"/>
        <v>0</v>
      </c>
      <c r="W797" s="1"/>
      <c r="X797" s="10"/>
    </row>
    <row r="798" spans="1:24" ht="11.25" hidden="1" customHeight="1" x14ac:dyDescent="0.25">
      <c r="A798" s="1" t="str">
        <f>IF(R798=0,"",COUNTIF(A$23:A797,"&gt;0")+1)</f>
        <v/>
      </c>
      <c r="B798" s="312"/>
      <c r="C798" s="63" t="s">
        <v>42</v>
      </c>
      <c r="D798" s="64" t="s">
        <v>980</v>
      </c>
      <c r="E798" s="65"/>
      <c r="F798" s="65"/>
      <c r="G798" s="66" t="s">
        <v>1047</v>
      </c>
      <c r="H798" s="66"/>
      <c r="I798" s="67"/>
      <c r="J798" s="67"/>
      <c r="K798" s="68"/>
      <c r="L798" s="68"/>
      <c r="M798" s="149" t="str">
        <f>IF(VLOOKUP(D798,A!A$1:V$767,17,FALSE)="y","NEW","")</f>
        <v/>
      </c>
      <c r="N798" s="150">
        <f>VLOOKUP(D798,A!A$1:V$767,20,FALSE)</f>
        <v>0</v>
      </c>
      <c r="O798" s="313">
        <v>4</v>
      </c>
      <c r="P798" s="10"/>
      <c r="Q798" s="10" t="s">
        <v>1046</v>
      </c>
      <c r="R798" s="10">
        <f t="shared" si="85"/>
        <v>0</v>
      </c>
      <c r="S798" s="10">
        <f>VLOOKUP(D798,A!A$1:AK$767,33,FALSE)</f>
        <v>0</v>
      </c>
      <c r="T798" s="380">
        <v>0.83299999999999996</v>
      </c>
      <c r="U798" s="10">
        <f t="shared" si="86"/>
        <v>0</v>
      </c>
      <c r="W798" s="1"/>
      <c r="X798" s="10"/>
    </row>
    <row r="799" spans="1:24" ht="11.25" hidden="1" customHeight="1" x14ac:dyDescent="0.25">
      <c r="A799" s="1" t="str">
        <f>IF(R799=0,"",COUNTIF(A$23:A798,"&gt;0")+1)</f>
        <v/>
      </c>
      <c r="B799" s="312"/>
      <c r="C799" s="63" t="s">
        <v>42</v>
      </c>
      <c r="D799" s="64" t="s">
        <v>981</v>
      </c>
      <c r="E799" s="65"/>
      <c r="F799" s="65"/>
      <c r="G799" s="66"/>
      <c r="H799" s="66"/>
      <c r="I799" s="67"/>
      <c r="J799" s="67"/>
      <c r="K799" s="68"/>
      <c r="L799" s="68"/>
      <c r="M799" s="149" t="str">
        <f>IF(VLOOKUP(D799,A!A$1:V$767,17,FALSE)="y","NEW","")</f>
        <v/>
      </c>
      <c r="N799" s="150">
        <f>VLOOKUP(D799,A!A$1:V$767,20,FALSE)</f>
        <v>0</v>
      </c>
      <c r="O799" s="313">
        <v>4</v>
      </c>
      <c r="P799" s="10"/>
      <c r="Q799" s="10" t="s">
        <v>1046</v>
      </c>
      <c r="R799" s="10">
        <f t="shared" si="85"/>
        <v>0</v>
      </c>
      <c r="S799" s="10">
        <f>VLOOKUP(D799,A!A$1:AK$767,33,FALSE)</f>
        <v>0</v>
      </c>
      <c r="T799" s="380">
        <v>0.83299999999999996</v>
      </c>
      <c r="U799" s="10">
        <f t="shared" si="86"/>
        <v>0</v>
      </c>
      <c r="W799" s="1"/>
      <c r="X799" s="10"/>
    </row>
    <row r="800" spans="1:24" ht="11.25" hidden="1" customHeight="1" x14ac:dyDescent="0.25">
      <c r="A800" s="1" t="str">
        <f>IF(R800=0,"",COUNTIF(A$23:A799,"&gt;0")+1)</f>
        <v/>
      </c>
      <c r="B800" s="312"/>
      <c r="C800" s="63" t="s">
        <v>42</v>
      </c>
      <c r="D800" s="64" t="s">
        <v>982</v>
      </c>
      <c r="E800" s="65"/>
      <c r="F800" s="686" t="s">
        <v>1349</v>
      </c>
      <c r="G800" s="66" t="s">
        <v>983</v>
      </c>
      <c r="H800" s="66"/>
      <c r="I800" s="67"/>
      <c r="J800" s="67"/>
      <c r="K800" s="68">
        <v>1</v>
      </c>
      <c r="L800" s="68"/>
      <c r="M800" s="706"/>
      <c r="N800" s="150">
        <f>VLOOKUP(D800,A!A$1:V$767,20,FALSE)</f>
        <v>0</v>
      </c>
      <c r="O800" s="313">
        <v>4</v>
      </c>
      <c r="P800" s="10" t="s">
        <v>56</v>
      </c>
      <c r="Q800" s="10" t="s">
        <v>1046</v>
      </c>
      <c r="R800" s="10">
        <f t="shared" si="85"/>
        <v>0</v>
      </c>
      <c r="S800" s="10">
        <f>VLOOKUP(D800,A!A$1:AK$767,33,FALSE)</f>
        <v>0</v>
      </c>
      <c r="T800" s="380">
        <v>0.83299999999999996</v>
      </c>
      <c r="U800" s="10">
        <f t="shared" si="86"/>
        <v>0</v>
      </c>
      <c r="W800" s="1"/>
      <c r="X800" s="10"/>
    </row>
    <row r="801" spans="1:24" ht="11.25" hidden="1" customHeight="1" x14ac:dyDescent="0.25">
      <c r="A801" s="1" t="str">
        <f>IF(R801=0,"",COUNTIF(A$23:A800,"&gt;0")+1)</f>
        <v/>
      </c>
      <c r="B801" s="312"/>
      <c r="C801" s="63" t="s">
        <v>42</v>
      </c>
      <c r="D801" s="64" t="s">
        <v>984</v>
      </c>
      <c r="E801" s="65"/>
      <c r="F801" s="65"/>
      <c r="G801" s="66" t="s">
        <v>1048</v>
      </c>
      <c r="H801" s="66"/>
      <c r="I801" s="67"/>
      <c r="J801" s="67"/>
      <c r="K801" s="68"/>
      <c r="L801" s="68"/>
      <c r="M801" s="149" t="str">
        <f>IF(VLOOKUP(D801,A!A$1:V$767,17,FALSE)="y","NEW","")</f>
        <v/>
      </c>
      <c r="N801" s="150">
        <f>VLOOKUP(D801,A!A$1:V$767,20,FALSE)</f>
        <v>0</v>
      </c>
      <c r="O801" s="313">
        <v>4</v>
      </c>
      <c r="P801" s="10"/>
      <c r="Q801" s="10" t="s">
        <v>1046</v>
      </c>
      <c r="R801" s="10">
        <f t="shared" si="85"/>
        <v>0</v>
      </c>
      <c r="S801" s="10">
        <f>VLOOKUP(D801,A!A$1:AK$767,33,FALSE)</f>
        <v>0</v>
      </c>
      <c r="T801" s="380">
        <v>0.83299999999999996</v>
      </c>
      <c r="U801" s="10">
        <f t="shared" si="86"/>
        <v>0</v>
      </c>
      <c r="W801" s="1"/>
      <c r="X801" s="10"/>
    </row>
    <row r="802" spans="1:24" ht="11.25" hidden="1" customHeight="1" x14ac:dyDescent="0.25">
      <c r="A802" s="1" t="str">
        <f>IF(R802=0,"",COUNTIF(A$23:A801,"&gt;0")+1)</f>
        <v/>
      </c>
      <c r="B802" s="312"/>
      <c r="C802" s="63" t="s">
        <v>42</v>
      </c>
      <c r="D802" s="64" t="s">
        <v>985</v>
      </c>
      <c r="E802" s="65"/>
      <c r="F802" s="65"/>
      <c r="G802" s="66" t="s">
        <v>986</v>
      </c>
      <c r="H802" s="66"/>
      <c r="I802" s="67"/>
      <c r="J802" s="67"/>
      <c r="K802" s="68"/>
      <c r="L802" s="68"/>
      <c r="M802" s="149" t="str">
        <f>IF(VLOOKUP(D802,A!A$1:V$767,17,FALSE)="y","NEW","")</f>
        <v/>
      </c>
      <c r="N802" s="150">
        <f>VLOOKUP(D802,A!A$1:V$767,20,FALSE)</f>
        <v>0</v>
      </c>
      <c r="O802" s="313">
        <v>4</v>
      </c>
      <c r="P802" s="10"/>
      <c r="Q802" s="10" t="s">
        <v>1046</v>
      </c>
      <c r="R802" s="10">
        <f t="shared" si="85"/>
        <v>0</v>
      </c>
      <c r="S802" s="10">
        <f>VLOOKUP(D802,A!A$1:AK$767,33,FALSE)</f>
        <v>0</v>
      </c>
      <c r="T802" s="380">
        <v>0.83299999999999996</v>
      </c>
      <c r="U802" s="10">
        <f t="shared" si="86"/>
        <v>0</v>
      </c>
      <c r="W802" s="1"/>
      <c r="X802" s="10"/>
    </row>
    <row r="803" spans="1:24" ht="11.25" hidden="1" customHeight="1" x14ac:dyDescent="0.25">
      <c r="A803" s="1" t="str">
        <f>IF(R803=0,"",COUNTIF(A$23:A802,"&gt;0")+1)</f>
        <v/>
      </c>
      <c r="B803" s="312"/>
      <c r="C803" s="63" t="s">
        <v>42</v>
      </c>
      <c r="D803" s="64" t="s">
        <v>987</v>
      </c>
      <c r="E803" s="65"/>
      <c r="F803" s="65"/>
      <c r="G803" s="66"/>
      <c r="H803" s="66"/>
      <c r="I803" s="67"/>
      <c r="J803" s="67"/>
      <c r="K803" s="68"/>
      <c r="L803" s="68"/>
      <c r="M803" s="149" t="str">
        <f>IF(VLOOKUP(D803,A!A$1:V$767,17,FALSE)="y","NEW","")</f>
        <v/>
      </c>
      <c r="N803" s="150">
        <f>VLOOKUP(D803,A!A$1:V$767,20,FALSE)</f>
        <v>0</v>
      </c>
      <c r="O803" s="313">
        <v>4</v>
      </c>
      <c r="P803" s="10"/>
      <c r="Q803" s="10" t="s">
        <v>1046</v>
      </c>
      <c r="R803" s="10">
        <f t="shared" si="85"/>
        <v>0</v>
      </c>
      <c r="S803" s="10">
        <f>VLOOKUP(D803,A!A$1:AK$767,33,FALSE)</f>
        <v>0</v>
      </c>
      <c r="T803" s="380">
        <v>0.83299999999999996</v>
      </c>
      <c r="U803" s="10">
        <f t="shared" si="86"/>
        <v>0</v>
      </c>
      <c r="W803" s="1"/>
      <c r="X803" s="10"/>
    </row>
    <row r="804" spans="1:24" ht="11.25" hidden="1" customHeight="1" x14ac:dyDescent="0.25">
      <c r="A804" s="1" t="str">
        <f>IF(R804=0,"",COUNTIF(A$23:A803,"&gt;0")+1)</f>
        <v/>
      </c>
      <c r="B804" s="312"/>
      <c r="C804" s="63" t="s">
        <v>42</v>
      </c>
      <c r="D804" s="64" t="s">
        <v>988</v>
      </c>
      <c r="E804" s="65"/>
      <c r="F804" s="65"/>
      <c r="G804" s="66"/>
      <c r="H804" s="66"/>
      <c r="I804" s="67"/>
      <c r="J804" s="67"/>
      <c r="K804" s="68"/>
      <c r="L804" s="68"/>
      <c r="M804" s="149" t="str">
        <f>IF(VLOOKUP(D804,A!A$1:V$767,17,FALSE)="y","NEW","")</f>
        <v/>
      </c>
      <c r="N804" s="150">
        <f>VLOOKUP(D804,A!A$1:V$767,20,FALSE)</f>
        <v>0</v>
      </c>
      <c r="O804" s="313">
        <v>4</v>
      </c>
      <c r="P804" s="10"/>
      <c r="Q804" s="10" t="s">
        <v>1046</v>
      </c>
      <c r="R804" s="10">
        <f t="shared" si="85"/>
        <v>0</v>
      </c>
      <c r="S804" s="10">
        <f>VLOOKUP(D804,A!A$1:AK$767,33,FALSE)</f>
        <v>0</v>
      </c>
      <c r="T804" s="380">
        <v>0.83299999999999996</v>
      </c>
      <c r="U804" s="10">
        <f t="shared" si="86"/>
        <v>0</v>
      </c>
      <c r="W804" s="1"/>
      <c r="X804" s="10"/>
    </row>
    <row r="805" spans="1:24" ht="11.25" hidden="1" customHeight="1" x14ac:dyDescent="0.25">
      <c r="A805" s="1" t="str">
        <f>IF(R805=0,"",COUNTIF(A$23:A804,"&gt;0")+1)</f>
        <v/>
      </c>
      <c r="B805" s="312"/>
      <c r="C805" s="63" t="s">
        <v>42</v>
      </c>
      <c r="D805" s="64" t="s">
        <v>989</v>
      </c>
      <c r="E805" s="65"/>
      <c r="F805" s="65"/>
      <c r="G805" s="66" t="s">
        <v>1049</v>
      </c>
      <c r="H805" s="66"/>
      <c r="I805" s="67"/>
      <c r="J805" s="67"/>
      <c r="K805" s="68"/>
      <c r="L805" s="68"/>
      <c r="M805" s="149" t="str">
        <f>IF(VLOOKUP(D805,A!A$1:V$767,17,FALSE)="y","NEW","")</f>
        <v/>
      </c>
      <c r="N805" s="150">
        <f>VLOOKUP(D805,A!A$1:V$767,20,FALSE)</f>
        <v>0</v>
      </c>
      <c r="O805" s="313">
        <v>4</v>
      </c>
      <c r="P805" s="10"/>
      <c r="Q805" s="10" t="s">
        <v>1046</v>
      </c>
      <c r="R805" s="10">
        <f t="shared" si="85"/>
        <v>0</v>
      </c>
      <c r="S805" s="10">
        <f>VLOOKUP(D805,A!A$1:AK$767,33,FALSE)</f>
        <v>0</v>
      </c>
      <c r="T805" s="380">
        <v>0.83299999999999996</v>
      </c>
      <c r="U805" s="10">
        <f t="shared" si="86"/>
        <v>0</v>
      </c>
      <c r="W805" s="1"/>
      <c r="X805" s="10"/>
    </row>
    <row r="806" spans="1:24" ht="11.25" hidden="1" customHeight="1" x14ac:dyDescent="0.25">
      <c r="A806" s="1" t="str">
        <f>IF(R806=0,"",COUNTIF(A$23:A805,"&gt;0")+1)</f>
        <v/>
      </c>
      <c r="B806" s="312"/>
      <c r="C806" s="63" t="s">
        <v>42</v>
      </c>
      <c r="D806" s="64" t="s">
        <v>990</v>
      </c>
      <c r="E806" s="65"/>
      <c r="F806" s="65"/>
      <c r="G806" s="66" t="s">
        <v>991</v>
      </c>
      <c r="H806" s="66"/>
      <c r="I806" s="67"/>
      <c r="J806" s="67"/>
      <c r="K806" s="68"/>
      <c r="L806" s="68"/>
      <c r="M806" s="149" t="str">
        <f>IF(VLOOKUP(D806,A!A$1:V$767,17,FALSE)="y","NEW","")</f>
        <v/>
      </c>
      <c r="N806" s="150">
        <f>VLOOKUP(D806,A!A$1:V$767,20,FALSE)</f>
        <v>0</v>
      </c>
      <c r="O806" s="313">
        <v>4</v>
      </c>
      <c r="P806" s="10"/>
      <c r="Q806" s="10" t="s">
        <v>1046</v>
      </c>
      <c r="R806" s="10">
        <f t="shared" si="85"/>
        <v>0</v>
      </c>
      <c r="S806" s="10">
        <f>VLOOKUP(D806,A!A$1:AK$767,33,FALSE)</f>
        <v>0</v>
      </c>
      <c r="T806" s="380">
        <v>0.83299999999999996</v>
      </c>
      <c r="U806" s="10">
        <f t="shared" si="86"/>
        <v>0</v>
      </c>
      <c r="W806" s="1"/>
      <c r="X806" s="10"/>
    </row>
    <row r="807" spans="1:24" ht="11.25" hidden="1" customHeight="1" x14ac:dyDescent="0.25">
      <c r="A807" s="1" t="str">
        <f>IF(R807=0,"",COUNTIF(A$23:A806,"&gt;0")+1)</f>
        <v/>
      </c>
      <c r="B807" s="312"/>
      <c r="C807" s="63" t="s">
        <v>42</v>
      </c>
      <c r="D807" s="64" t="s">
        <v>992</v>
      </c>
      <c r="E807" s="65"/>
      <c r="F807" s="65"/>
      <c r="G807" s="66"/>
      <c r="H807" s="66"/>
      <c r="I807" s="67"/>
      <c r="J807" s="67"/>
      <c r="K807" s="68"/>
      <c r="L807" s="68"/>
      <c r="M807" s="149" t="str">
        <f>IF(VLOOKUP(D807,A!A$1:V$767,17,FALSE)="y","NEW","")</f>
        <v/>
      </c>
      <c r="N807" s="150">
        <f>VLOOKUP(D807,A!A$1:V$767,20,FALSE)</f>
        <v>0</v>
      </c>
      <c r="O807" s="313">
        <v>4</v>
      </c>
      <c r="P807" s="10"/>
      <c r="Q807" s="10" t="s">
        <v>1046</v>
      </c>
      <c r="R807" s="10">
        <f t="shared" si="85"/>
        <v>0</v>
      </c>
      <c r="S807" s="10">
        <f>VLOOKUP(D807,A!A$1:AK$767,33,FALSE)</f>
        <v>0</v>
      </c>
      <c r="T807" s="380">
        <v>0.83299999999999996</v>
      </c>
      <c r="U807" s="10">
        <f t="shared" si="86"/>
        <v>0</v>
      </c>
      <c r="W807" s="1"/>
      <c r="X807" s="10"/>
    </row>
    <row r="808" spans="1:24" ht="11.25" hidden="1" customHeight="1" x14ac:dyDescent="0.25">
      <c r="A808" s="1" t="str">
        <f>IF(R808=0,"",COUNTIF(A$23:A807,"&gt;0")+1)</f>
        <v/>
      </c>
      <c r="B808" s="312"/>
      <c r="C808" s="63" t="s">
        <v>42</v>
      </c>
      <c r="D808" s="64" t="s">
        <v>993</v>
      </c>
      <c r="E808" s="65"/>
      <c r="F808" s="65"/>
      <c r="G808" s="66"/>
      <c r="H808" s="66"/>
      <c r="I808" s="67"/>
      <c r="J808" s="67"/>
      <c r="K808" s="68"/>
      <c r="L808" s="68"/>
      <c r="M808" s="149" t="str">
        <f>IF(VLOOKUP(D808,A!A$1:V$767,17,FALSE)="y","NEW","")</f>
        <v/>
      </c>
      <c r="N808" s="150">
        <f>VLOOKUP(D808,A!A$1:V$767,20,FALSE)</f>
        <v>0</v>
      </c>
      <c r="O808" s="313">
        <v>4</v>
      </c>
      <c r="P808" s="10"/>
      <c r="Q808" s="10" t="s">
        <v>1046</v>
      </c>
      <c r="R808" s="10">
        <f t="shared" si="85"/>
        <v>0</v>
      </c>
      <c r="S808" s="10">
        <f>VLOOKUP(D808,A!A$1:AK$767,33,FALSE)</f>
        <v>0</v>
      </c>
      <c r="T808" s="380">
        <v>0.83299999999999996</v>
      </c>
      <c r="U808" s="10">
        <f t="shared" si="86"/>
        <v>0</v>
      </c>
      <c r="W808" s="1"/>
      <c r="X808" s="10"/>
    </row>
    <row r="809" spans="1:24" ht="11.25" hidden="1" customHeight="1" x14ac:dyDescent="0.25">
      <c r="A809" s="1" t="str">
        <f>IF(R809=0,"",COUNTIF(A$23:A808,"&gt;0")+1)</f>
        <v/>
      </c>
      <c r="B809" s="312"/>
      <c r="C809" s="63" t="s">
        <v>42</v>
      </c>
      <c r="D809" s="64" t="s">
        <v>994</v>
      </c>
      <c r="E809" s="65"/>
      <c r="F809" s="65"/>
      <c r="G809" s="66" t="s">
        <v>995</v>
      </c>
      <c r="H809" s="66"/>
      <c r="I809" s="67"/>
      <c r="J809" s="67"/>
      <c r="K809" s="68"/>
      <c r="L809" s="68"/>
      <c r="M809" s="149" t="str">
        <f>IF(VLOOKUP(D809,A!A$1:V$767,17,FALSE)="y","NEW","")</f>
        <v/>
      </c>
      <c r="N809" s="150">
        <f>VLOOKUP(D809,A!A$1:V$767,20,FALSE)</f>
        <v>0</v>
      </c>
      <c r="O809" s="313">
        <v>4</v>
      </c>
      <c r="P809" s="10"/>
      <c r="Q809" s="10" t="s">
        <v>1046</v>
      </c>
      <c r="R809" s="10">
        <f t="shared" si="85"/>
        <v>0</v>
      </c>
      <c r="S809" s="10">
        <f>VLOOKUP(D809,A!A$1:AK$767,33,FALSE)</f>
        <v>0</v>
      </c>
      <c r="T809" s="380">
        <v>0.83299999999999996</v>
      </c>
      <c r="U809" s="10">
        <f t="shared" si="86"/>
        <v>0</v>
      </c>
      <c r="W809" s="1"/>
      <c r="X809" s="10"/>
    </row>
    <row r="810" spans="1:24" ht="11.25" hidden="1" customHeight="1" x14ac:dyDescent="0.25">
      <c r="A810" s="1" t="str">
        <f>IF(R810=0,"",COUNTIF(A$23:A809,"&gt;0")+1)</f>
        <v/>
      </c>
      <c r="B810" s="312"/>
      <c r="C810" s="63" t="s">
        <v>42</v>
      </c>
      <c r="D810" s="64" t="s">
        <v>996</v>
      </c>
      <c r="E810" s="65"/>
      <c r="F810" s="65"/>
      <c r="G810" s="66" t="s">
        <v>997</v>
      </c>
      <c r="H810" s="66"/>
      <c r="I810" s="67"/>
      <c r="J810" s="67"/>
      <c r="K810" s="68"/>
      <c r="L810" s="68"/>
      <c r="M810" s="149" t="str">
        <f>IF(VLOOKUP(D810,A!A$1:V$767,17,FALSE)="y","NEW","")</f>
        <v/>
      </c>
      <c r="N810" s="150">
        <f>VLOOKUP(D810,A!A$1:V$767,20,FALSE)</f>
        <v>0</v>
      </c>
      <c r="O810" s="313">
        <v>4</v>
      </c>
      <c r="P810" s="10"/>
      <c r="Q810" s="10" t="s">
        <v>1046</v>
      </c>
      <c r="R810" s="10">
        <f t="shared" si="85"/>
        <v>0</v>
      </c>
      <c r="S810" s="10">
        <f>VLOOKUP(D810,A!A$1:AK$767,33,FALSE)</f>
        <v>0</v>
      </c>
      <c r="T810" s="380">
        <v>0.83299999999999996</v>
      </c>
      <c r="U810" s="10">
        <f t="shared" si="86"/>
        <v>0</v>
      </c>
      <c r="W810" s="1"/>
      <c r="X810" s="10"/>
    </row>
    <row r="811" spans="1:24" ht="11.25" hidden="1" customHeight="1" x14ac:dyDescent="0.25">
      <c r="A811" s="1" t="str">
        <f>IF(R811=0,"",COUNTIF(A$23:A810,"&gt;0")+1)</f>
        <v/>
      </c>
      <c r="B811" s="312"/>
      <c r="C811" s="63" t="s">
        <v>42</v>
      </c>
      <c r="D811" s="64" t="s">
        <v>998</v>
      </c>
      <c r="E811" s="65"/>
      <c r="F811" s="65"/>
      <c r="G811" s="66" t="s">
        <v>999</v>
      </c>
      <c r="H811" s="66"/>
      <c r="I811" s="67"/>
      <c r="J811" s="67"/>
      <c r="K811" s="68"/>
      <c r="L811" s="68"/>
      <c r="M811" s="149" t="str">
        <f>IF(VLOOKUP(D811,A!A$1:V$767,17,FALSE)="y","NEW","")</f>
        <v/>
      </c>
      <c r="N811" s="150">
        <f>VLOOKUP(D811,A!A$1:V$767,20,FALSE)</f>
        <v>0</v>
      </c>
      <c r="O811" s="313">
        <v>4</v>
      </c>
      <c r="P811" s="10"/>
      <c r="Q811" s="10" t="s">
        <v>1046</v>
      </c>
      <c r="R811" s="10">
        <f t="shared" si="85"/>
        <v>0</v>
      </c>
      <c r="S811" s="10">
        <f>VLOOKUP(D811,A!A$1:AK$767,33,FALSE)</f>
        <v>0</v>
      </c>
      <c r="T811" s="380">
        <v>0.83299999999999996</v>
      </c>
      <c r="U811" s="10">
        <f t="shared" si="86"/>
        <v>0</v>
      </c>
      <c r="W811" s="1"/>
      <c r="X811" s="10"/>
    </row>
    <row r="812" spans="1:24" ht="11.25" hidden="1" customHeight="1" x14ac:dyDescent="0.25">
      <c r="A812" s="1" t="str">
        <f>IF(R812=0,"",COUNTIF(A$23:A811,"&gt;0")+1)</f>
        <v/>
      </c>
      <c r="B812" s="312"/>
      <c r="C812" s="63" t="s">
        <v>42</v>
      </c>
      <c r="D812" s="64" t="s">
        <v>1000</v>
      </c>
      <c r="E812" s="65"/>
      <c r="F812" s="65"/>
      <c r="G812" s="66" t="s">
        <v>1001</v>
      </c>
      <c r="H812" s="66"/>
      <c r="I812" s="67"/>
      <c r="J812" s="67"/>
      <c r="K812" s="68"/>
      <c r="L812" s="68"/>
      <c r="M812" s="149" t="str">
        <f>IF(VLOOKUP(D812,A!A$1:V$767,17,FALSE)="y","NEW","")</f>
        <v/>
      </c>
      <c r="N812" s="150">
        <f>VLOOKUP(D812,A!A$1:V$767,20,FALSE)</f>
        <v>0</v>
      </c>
      <c r="O812" s="313">
        <v>4</v>
      </c>
      <c r="P812" s="10"/>
      <c r="Q812" s="10" t="s">
        <v>1046</v>
      </c>
      <c r="R812" s="10">
        <f t="shared" si="85"/>
        <v>0</v>
      </c>
      <c r="S812" s="10">
        <f>VLOOKUP(D812,A!A$1:AK$767,33,FALSE)</f>
        <v>0</v>
      </c>
      <c r="T812" s="380">
        <v>0.83299999999999996</v>
      </c>
      <c r="U812" s="10">
        <f t="shared" si="86"/>
        <v>0</v>
      </c>
      <c r="W812" s="1"/>
      <c r="X812" s="10"/>
    </row>
    <row r="813" spans="1:24" ht="11.25" hidden="1" customHeight="1" x14ac:dyDescent="0.25">
      <c r="A813" s="1" t="str">
        <f>IF(R813=0,"",COUNTIF(A$23:A812,"&gt;0")+1)</f>
        <v/>
      </c>
      <c r="B813" s="312"/>
      <c r="C813" s="63" t="s">
        <v>42</v>
      </c>
      <c r="D813" s="64" t="s">
        <v>1002</v>
      </c>
      <c r="E813" s="65"/>
      <c r="F813" s="65"/>
      <c r="G813" s="66"/>
      <c r="H813" s="66"/>
      <c r="I813" s="67"/>
      <c r="J813" s="67"/>
      <c r="K813" s="68"/>
      <c r="L813" s="68"/>
      <c r="M813" s="149" t="str">
        <f>IF(VLOOKUP(D813,A!A$1:V$767,17,FALSE)="y","NEW","")</f>
        <v/>
      </c>
      <c r="N813" s="150">
        <f>VLOOKUP(D813,A!A$1:V$767,20,FALSE)</f>
        <v>0</v>
      </c>
      <c r="O813" s="313">
        <v>4</v>
      </c>
      <c r="P813" s="10"/>
      <c r="Q813" s="10" t="s">
        <v>1046</v>
      </c>
      <c r="R813" s="10">
        <f t="shared" si="85"/>
        <v>0</v>
      </c>
      <c r="S813" s="10">
        <f>VLOOKUP(D813,A!A$1:AK$767,33,FALSE)</f>
        <v>0</v>
      </c>
      <c r="T813" s="380">
        <v>0.83299999999999996</v>
      </c>
      <c r="U813" s="10">
        <f t="shared" si="86"/>
        <v>0</v>
      </c>
      <c r="W813" s="1"/>
      <c r="X813" s="10"/>
    </row>
    <row r="814" spans="1:24" ht="11.25" hidden="1" customHeight="1" x14ac:dyDescent="0.25">
      <c r="A814" s="1" t="str">
        <f>IF(R814=0,"",COUNTIF(A$23:A813,"&gt;0")+1)</f>
        <v/>
      </c>
      <c r="B814" s="312"/>
      <c r="C814" s="63" t="s">
        <v>42</v>
      </c>
      <c r="D814" s="64" t="s">
        <v>1351</v>
      </c>
      <c r="E814" s="65"/>
      <c r="F814" s="65"/>
      <c r="G814" s="66" t="s">
        <v>1003</v>
      </c>
      <c r="H814" s="66"/>
      <c r="I814" s="67"/>
      <c r="J814" s="67"/>
      <c r="K814" s="68"/>
      <c r="L814" s="68"/>
      <c r="M814" s="92" t="str">
        <f>IF(VLOOKUP(D814,A!A$1:V$767,17,FALSE)="y","NEW","")</f>
        <v/>
      </c>
      <c r="N814" s="67">
        <f>VLOOKUP(D814,A!A$1:V$767,20,FALSE)</f>
        <v>0</v>
      </c>
      <c r="O814" s="313">
        <v>4</v>
      </c>
      <c r="P814" s="10"/>
      <c r="Q814" s="10" t="s">
        <v>1046</v>
      </c>
      <c r="R814" s="10">
        <f t="shared" si="85"/>
        <v>0</v>
      </c>
      <c r="S814" s="10">
        <v>35</v>
      </c>
      <c r="T814" s="380">
        <v>8.3000000000000004E-2</v>
      </c>
      <c r="U814" s="10">
        <f t="shared" si="86"/>
        <v>0</v>
      </c>
      <c r="W814" s="1"/>
      <c r="X814" s="10"/>
    </row>
    <row r="815" spans="1:24" ht="11.25" hidden="1" customHeight="1" x14ac:dyDescent="0.25">
      <c r="A815" s="1" t="str">
        <f>IF(R815=0,"",COUNTIF(A$23:A814,"&gt;0")+1)</f>
        <v/>
      </c>
      <c r="B815" s="312"/>
      <c r="C815" s="63" t="s">
        <v>42</v>
      </c>
      <c r="D815" s="64" t="s">
        <v>1006</v>
      </c>
      <c r="E815" s="65"/>
      <c r="F815" s="65"/>
      <c r="G815" s="66" t="s">
        <v>1050</v>
      </c>
      <c r="H815" s="66"/>
      <c r="I815" s="67"/>
      <c r="J815" s="67"/>
      <c r="K815" s="68">
        <f>IF(VLOOKUP(D815,A!A$1:V$767,18,FALSE)="y",1,0)</f>
        <v>0</v>
      </c>
      <c r="L815" s="68">
        <f>IF(VLOOKUP(D815,A!A$1:V$767,19,FALSE)="y",1,0)</f>
        <v>0</v>
      </c>
      <c r="M815" s="92" t="str">
        <f>IF(VLOOKUP(D815,A!A$1:V$767,17,FALSE)="y","NEW","")</f>
        <v/>
      </c>
      <c r="N815" s="67">
        <f>VLOOKUP(D815,A!A$1:V$767,20,FALSE)</f>
        <v>0</v>
      </c>
      <c r="O815" s="313">
        <v>4</v>
      </c>
      <c r="P815" s="10"/>
      <c r="Q815" s="10" t="s">
        <v>1046</v>
      </c>
      <c r="R815" s="10">
        <f t="shared" si="85"/>
        <v>0</v>
      </c>
      <c r="S815" s="10">
        <f>VLOOKUP(D815,A!A$1:AK$767,33,FALSE)</f>
        <v>0</v>
      </c>
      <c r="T815" s="380">
        <v>0.83299999999999996</v>
      </c>
      <c r="U815" s="10">
        <f t="shared" si="86"/>
        <v>0</v>
      </c>
      <c r="W815" s="1"/>
      <c r="X815" s="10"/>
    </row>
    <row r="816" spans="1:24" ht="11.25" hidden="1" customHeight="1" thickBot="1" x14ac:dyDescent="0.3">
      <c r="A816" s="1" t="str">
        <f>IF(R816=0,"",COUNTIF(A$23:A815,"&gt;0")+1)</f>
        <v/>
      </c>
      <c r="B816" s="312"/>
      <c r="C816" s="63" t="s">
        <v>42</v>
      </c>
      <c r="D816" s="64" t="s">
        <v>1008</v>
      </c>
      <c r="E816" s="65"/>
      <c r="F816" s="689" t="s">
        <v>1350</v>
      </c>
      <c r="G816" s="66" t="s">
        <v>1051</v>
      </c>
      <c r="H816" s="66"/>
      <c r="I816" s="67"/>
      <c r="J816" s="67"/>
      <c r="K816" s="68">
        <v>1</v>
      </c>
      <c r="L816" s="68">
        <v>1</v>
      </c>
      <c r="M816" s="92"/>
      <c r="N816" s="67">
        <f>VLOOKUP(D816,A!A$1:V$767,20,FALSE)</f>
        <v>0</v>
      </c>
      <c r="O816" s="313">
        <v>4</v>
      </c>
      <c r="P816" s="10" t="s">
        <v>56</v>
      </c>
      <c r="Q816" s="10" t="s">
        <v>1046</v>
      </c>
      <c r="R816" s="10">
        <f t="shared" si="85"/>
        <v>0</v>
      </c>
      <c r="S816" s="10">
        <v>25</v>
      </c>
      <c r="T816" s="380">
        <v>0.83299999999999996</v>
      </c>
      <c r="U816" s="10">
        <f t="shared" si="86"/>
        <v>0</v>
      </c>
      <c r="W816" s="1"/>
      <c r="X816" s="10"/>
    </row>
    <row r="817" spans="1:24" ht="11.25" hidden="1" customHeight="1" x14ac:dyDescent="0.25">
      <c r="A817" s="1" t="str">
        <f>IF(R817=0,"",COUNTIF(A$23:A816,"&gt;0")+1)</f>
        <v/>
      </c>
      <c r="B817" s="312"/>
      <c r="C817" s="63" t="s">
        <v>42</v>
      </c>
      <c r="D817" s="64" t="s">
        <v>1010</v>
      </c>
      <c r="E817" s="65"/>
      <c r="F817" s="65"/>
      <c r="G817" s="66"/>
      <c r="H817" s="66"/>
      <c r="I817" s="67"/>
      <c r="J817" s="67"/>
      <c r="K817" s="68">
        <f>IF(VLOOKUP(D817,A!A$1:V$767,18,FALSE)="y",1,0)</f>
        <v>0</v>
      </c>
      <c r="L817" s="68">
        <f>IF(VLOOKUP(D817,A!A$1:V$767,19,FALSE)="y",1,0)</f>
        <v>0</v>
      </c>
      <c r="M817" s="92" t="str">
        <f>IF(VLOOKUP(D817,A!A$1:V$767,17,FALSE)="y","NEW","")</f>
        <v/>
      </c>
      <c r="N817" s="67">
        <f>VLOOKUP(D817,A!A$1:V$767,20,FALSE)</f>
        <v>0</v>
      </c>
      <c r="O817" s="313">
        <v>4</v>
      </c>
      <c r="P817" s="10"/>
      <c r="Q817" s="10" t="s">
        <v>1046</v>
      </c>
      <c r="R817" s="10">
        <f t="shared" si="85"/>
        <v>0</v>
      </c>
      <c r="S817" s="10">
        <f>VLOOKUP(D817,A!A$1:AK$767,33,FALSE)</f>
        <v>0</v>
      </c>
      <c r="T817" s="380">
        <v>0.83299999999999996</v>
      </c>
      <c r="U817" s="10">
        <f t="shared" si="86"/>
        <v>0</v>
      </c>
      <c r="W817" s="1"/>
      <c r="X817" s="10"/>
    </row>
    <row r="818" spans="1:24" ht="11.25" hidden="1" customHeight="1" x14ac:dyDescent="0.25">
      <c r="A818" s="1" t="str">
        <f>IF(R818=0,"",COUNTIF(A$23:A817,"&gt;0")+1)</f>
        <v/>
      </c>
      <c r="B818" s="312"/>
      <c r="C818" s="63" t="s">
        <v>42</v>
      </c>
      <c r="D818" s="64" t="s">
        <v>1016</v>
      </c>
      <c r="E818" s="65"/>
      <c r="F818" s="65"/>
      <c r="G818" s="66"/>
      <c r="H818" s="66"/>
      <c r="I818" s="67"/>
      <c r="J818" s="67"/>
      <c r="K818" s="68">
        <f>IF(VLOOKUP(D818,A!A$1:V$767,18,FALSE)="y",1,0)</f>
        <v>0</v>
      </c>
      <c r="L818" s="68">
        <f>IF(VLOOKUP(D818,A!A$1:V$767,19,FALSE)="y",1,0)</f>
        <v>0</v>
      </c>
      <c r="M818" s="92" t="str">
        <f>IF(VLOOKUP(D818,A!A$1:V$767,17,FALSE)="y","NEW","")</f>
        <v/>
      </c>
      <c r="N818" s="67">
        <f>VLOOKUP(D818,A!A$1:V$767,20,FALSE)</f>
        <v>0</v>
      </c>
      <c r="O818" s="313">
        <v>4</v>
      </c>
      <c r="P818" s="10"/>
      <c r="Q818" s="10" t="s">
        <v>1046</v>
      </c>
      <c r="R818" s="10">
        <f t="shared" si="85"/>
        <v>0</v>
      </c>
      <c r="S818" s="10">
        <f>VLOOKUP(D818,A!A$1:AK$767,33,FALSE)</f>
        <v>0</v>
      </c>
      <c r="T818" s="380">
        <v>0.83299999999999996</v>
      </c>
      <c r="U818" s="10">
        <f t="shared" si="86"/>
        <v>0</v>
      </c>
      <c r="W818" s="1"/>
      <c r="X818" s="10"/>
    </row>
    <row r="819" spans="1:24" ht="11.25" hidden="1" customHeight="1" x14ac:dyDescent="0.25">
      <c r="A819" s="1" t="str">
        <f>IF(R819=0,"",COUNTIF(A$23:A818,"&gt;0")+1)</f>
        <v/>
      </c>
      <c r="B819" s="312"/>
      <c r="C819" s="63" t="s">
        <v>42</v>
      </c>
      <c r="D819" s="64" t="s">
        <v>1017</v>
      </c>
      <c r="E819" s="65"/>
      <c r="F819" s="65"/>
      <c r="G819" s="66" t="s">
        <v>1018</v>
      </c>
      <c r="H819" s="66"/>
      <c r="I819" s="67"/>
      <c r="J819" s="67"/>
      <c r="K819" s="68">
        <f>IF(VLOOKUP(D819,A!A$1:V$767,18,FALSE)="y",1,0)</f>
        <v>0</v>
      </c>
      <c r="L819" s="68">
        <f>IF(VLOOKUP(D819,A!A$1:V$767,19,FALSE)="y",1,0)</f>
        <v>0</v>
      </c>
      <c r="M819" s="92" t="str">
        <f>IF(VLOOKUP(D819,A!A$1:V$767,17,FALSE)="y","NEW","")</f>
        <v/>
      </c>
      <c r="N819" s="67">
        <f>VLOOKUP(D819,A!A$1:V$767,20,FALSE)</f>
        <v>0</v>
      </c>
      <c r="O819" s="313">
        <v>4</v>
      </c>
      <c r="P819" s="10"/>
      <c r="Q819" s="10" t="s">
        <v>1046</v>
      </c>
      <c r="R819" s="10">
        <f t="shared" si="85"/>
        <v>0</v>
      </c>
      <c r="S819" s="10">
        <f>VLOOKUP(D819,A!A$1:AK$767,33,FALSE)</f>
        <v>0</v>
      </c>
      <c r="T819" s="380">
        <v>0.83299999999999996</v>
      </c>
      <c r="U819" s="10">
        <f t="shared" si="86"/>
        <v>0</v>
      </c>
      <c r="W819" s="1"/>
      <c r="X819" s="10"/>
    </row>
    <row r="820" spans="1:24" ht="11.25" hidden="1" customHeight="1" x14ac:dyDescent="0.25">
      <c r="A820" s="1" t="str">
        <f>IF(R820=0,"",COUNTIF(A$23:A819,"&gt;0")+1)</f>
        <v/>
      </c>
      <c r="B820" s="312"/>
      <c r="C820" s="63" t="s">
        <v>42</v>
      </c>
      <c r="D820" s="64" t="s">
        <v>1019</v>
      </c>
      <c r="E820" s="65"/>
      <c r="F820" s="65"/>
      <c r="G820" s="66" t="s">
        <v>1020</v>
      </c>
      <c r="H820" s="66"/>
      <c r="I820" s="67"/>
      <c r="J820" s="67"/>
      <c r="K820" s="68">
        <f>IF(VLOOKUP(D820,A!A$1:V$767,18,FALSE)="y",1,0)</f>
        <v>0</v>
      </c>
      <c r="L820" s="68">
        <f>IF(VLOOKUP(D820,A!A$1:V$767,19,FALSE)="y",1,0)</f>
        <v>0</v>
      </c>
      <c r="M820" s="92" t="str">
        <f>IF(VLOOKUP(D820,A!A$1:V$767,17,FALSE)="y","NEW","")</f>
        <v/>
      </c>
      <c r="N820" s="67">
        <f>VLOOKUP(D820,A!A$1:V$767,20,FALSE)</f>
        <v>0</v>
      </c>
      <c r="O820" s="313">
        <v>4</v>
      </c>
      <c r="P820" s="10"/>
      <c r="Q820" s="10" t="s">
        <v>1046</v>
      </c>
      <c r="R820" s="10">
        <f t="shared" si="85"/>
        <v>0</v>
      </c>
      <c r="S820" s="10">
        <f>VLOOKUP(D820,A!A$1:AK$767,33,FALSE)</f>
        <v>0</v>
      </c>
      <c r="T820" s="380">
        <v>0.83299999999999996</v>
      </c>
      <c r="U820" s="10">
        <f t="shared" si="86"/>
        <v>0</v>
      </c>
      <c r="W820" s="1"/>
      <c r="X820" s="10"/>
    </row>
    <row r="821" spans="1:24" ht="12" hidden="1" customHeight="1" x14ac:dyDescent="0.25">
      <c r="A821" s="1" t="str">
        <f>IF(R821=0,"",COUNTIF(A$23:A820,"&gt;0")+1)</f>
        <v/>
      </c>
      <c r="B821" s="312"/>
      <c r="C821" s="63" t="s">
        <v>42</v>
      </c>
      <c r="D821" s="64" t="s">
        <v>1021</v>
      </c>
      <c r="E821" s="65"/>
      <c r="F821" s="65"/>
      <c r="G821" s="66"/>
      <c r="H821" s="66"/>
      <c r="I821" s="67"/>
      <c r="J821" s="67"/>
      <c r="K821" s="68">
        <f>IF(VLOOKUP(D821,A!A$1:V$767,18,FALSE)="y",1,0)</f>
        <v>0</v>
      </c>
      <c r="L821" s="68">
        <f>IF(VLOOKUP(D821,A!A$1:V$767,19,FALSE)="y",1,0)</f>
        <v>0</v>
      </c>
      <c r="M821" s="92" t="str">
        <f>IF(VLOOKUP(D821,A!A$1:V$767,17,FALSE)="y","NEW","")</f>
        <v/>
      </c>
      <c r="N821" s="67">
        <f>VLOOKUP(D821,A!A$1:V$767,20,FALSE)</f>
        <v>0</v>
      </c>
      <c r="O821" s="313">
        <v>4</v>
      </c>
      <c r="P821" s="10"/>
      <c r="Q821" s="10" t="s">
        <v>1046</v>
      </c>
      <c r="R821" s="10">
        <f t="shared" si="85"/>
        <v>0</v>
      </c>
      <c r="S821" s="10">
        <f>VLOOKUP(D821,A!A$1:AK$767,33,FALSE)</f>
        <v>0</v>
      </c>
      <c r="T821" s="380">
        <v>0.83299999999999996</v>
      </c>
      <c r="U821" s="10">
        <f t="shared" si="86"/>
        <v>0</v>
      </c>
      <c r="W821" s="1"/>
      <c r="X821" s="10"/>
    </row>
    <row r="822" spans="1:24" ht="12" hidden="1" customHeight="1" x14ac:dyDescent="0.25">
      <c r="A822" s="1" t="str">
        <f>IF(R822=0,"",COUNTIF(A$23:A821,"&gt;0")+1)</f>
        <v/>
      </c>
      <c r="B822" s="312"/>
      <c r="C822" s="63" t="s">
        <v>42</v>
      </c>
      <c r="D822" s="64" t="s">
        <v>1022</v>
      </c>
      <c r="E822" s="65"/>
      <c r="F822" s="65"/>
      <c r="G822" s="66"/>
      <c r="H822" s="66"/>
      <c r="I822" s="67"/>
      <c r="J822" s="67"/>
      <c r="K822" s="68">
        <f>IF(VLOOKUP(D822,A!A$1:V$767,18,FALSE)="y",1,0)</f>
        <v>0</v>
      </c>
      <c r="L822" s="68">
        <f>IF(VLOOKUP(D822,A!A$1:V$767,19,FALSE)="y",1,0)</f>
        <v>0</v>
      </c>
      <c r="M822" s="92" t="str">
        <f>IF(VLOOKUP(D822,A!A$1:V$767,17,FALSE)="y","NEW","")</f>
        <v/>
      </c>
      <c r="N822" s="67">
        <f>VLOOKUP(D822,A!A$1:V$767,20,FALSE)</f>
        <v>0</v>
      </c>
      <c r="O822" s="313">
        <v>4</v>
      </c>
      <c r="P822" s="10"/>
      <c r="Q822" s="10" t="s">
        <v>1046</v>
      </c>
      <c r="R822" s="10">
        <f t="shared" si="85"/>
        <v>0</v>
      </c>
      <c r="S822" s="10">
        <f>VLOOKUP(D822,A!A$1:AK$767,33,FALSE)</f>
        <v>0</v>
      </c>
      <c r="T822" s="380">
        <v>0.83299999999999996</v>
      </c>
      <c r="U822" s="10">
        <f t="shared" si="86"/>
        <v>0</v>
      </c>
      <c r="W822" s="1"/>
      <c r="X822" s="10"/>
    </row>
    <row r="823" spans="1:24" ht="12" hidden="1" customHeight="1" x14ac:dyDescent="0.25">
      <c r="A823" s="1" t="str">
        <f>IF(R823=0,"",COUNTIF(A$23:A822,"&gt;0")+1)</f>
        <v/>
      </c>
      <c r="B823" s="312"/>
      <c r="C823" s="63" t="s">
        <v>42</v>
      </c>
      <c r="D823" s="64" t="s">
        <v>1025</v>
      </c>
      <c r="E823" s="65"/>
      <c r="F823" s="65"/>
      <c r="G823" s="66"/>
      <c r="H823" s="66"/>
      <c r="I823" s="67"/>
      <c r="J823" s="67"/>
      <c r="K823" s="68">
        <f>IF(VLOOKUP(D823,A!A$1:V$767,18,FALSE)="y",1,0)</f>
        <v>0</v>
      </c>
      <c r="L823" s="68">
        <f>IF(VLOOKUP(D823,A!A$1:V$767,19,FALSE)="y",1,0)</f>
        <v>0</v>
      </c>
      <c r="M823" s="92" t="str">
        <f>IF(VLOOKUP(D823,A!A$1:V$767,17,FALSE)="y","NEW","")</f>
        <v/>
      </c>
      <c r="N823" s="67">
        <f>VLOOKUP(D823,A!A$1:V$767,20,FALSE)</f>
        <v>0</v>
      </c>
      <c r="O823" s="313">
        <v>4</v>
      </c>
      <c r="P823" s="10">
        <f>VLOOKUP(D823,A!A$1:V$767,16,FALSE)</f>
        <v>0</v>
      </c>
      <c r="Q823" s="10" t="s">
        <v>1046</v>
      </c>
      <c r="R823" s="10">
        <f t="shared" si="85"/>
        <v>0</v>
      </c>
      <c r="S823" s="10">
        <f>VLOOKUP(D823,A!A$1:AK$767,33,FALSE)</f>
        <v>0</v>
      </c>
      <c r="T823" s="380">
        <v>0.83299999999999996</v>
      </c>
      <c r="U823" s="10">
        <f t="shared" si="86"/>
        <v>0</v>
      </c>
      <c r="W823" s="1"/>
      <c r="X823" s="10"/>
    </row>
    <row r="824" spans="1:24" ht="12" hidden="1" customHeight="1" x14ac:dyDescent="0.25">
      <c r="A824" s="1" t="str">
        <f>IF(R824=0,"",COUNTIF(A$23:A823,"&gt;0")+1)</f>
        <v/>
      </c>
      <c r="B824" s="312"/>
      <c r="C824" s="63" t="s">
        <v>42</v>
      </c>
      <c r="D824" s="64" t="s">
        <v>1027</v>
      </c>
      <c r="E824" s="65"/>
      <c r="F824" s="65"/>
      <c r="G824" s="66" t="s">
        <v>1052</v>
      </c>
      <c r="H824" s="66"/>
      <c r="I824" s="67"/>
      <c r="J824" s="67"/>
      <c r="K824" s="68">
        <f>IF(VLOOKUP(D824,A!A$1:V$767,18,FALSE)="y",1,0)</f>
        <v>0</v>
      </c>
      <c r="L824" s="68">
        <f>IF(VLOOKUP(D824,A!A$1:V$767,19,FALSE)="y",1,0)</f>
        <v>0</v>
      </c>
      <c r="M824" s="92" t="str">
        <f>IF(VLOOKUP(D824,A!A$1:V$767,17,FALSE)="y","NEW","")</f>
        <v/>
      </c>
      <c r="N824" s="67">
        <f>VLOOKUP(D824,A!A$1:V$767,20,FALSE)</f>
        <v>0</v>
      </c>
      <c r="O824" s="313">
        <v>4</v>
      </c>
      <c r="P824" s="10">
        <f>VLOOKUP(D824,A!A$1:V$767,16,FALSE)</f>
        <v>0</v>
      </c>
      <c r="Q824" s="10" t="s">
        <v>1046</v>
      </c>
      <c r="R824" s="10">
        <f t="shared" si="85"/>
        <v>0</v>
      </c>
      <c r="S824" s="10">
        <f>VLOOKUP(D824,A!A$1:AK$767,33,FALSE)</f>
        <v>0</v>
      </c>
      <c r="T824" s="380">
        <v>0.83299999999999996</v>
      </c>
      <c r="U824" s="10">
        <f t="shared" si="86"/>
        <v>0</v>
      </c>
      <c r="W824" s="1"/>
      <c r="X824" s="10"/>
    </row>
    <row r="825" spans="1:24" ht="12" hidden="1" customHeight="1" x14ac:dyDescent="0.25">
      <c r="A825" s="1" t="str">
        <f>IF(R825=0,"",COUNTIF(A$23:A824,"&gt;0")+1)</f>
        <v/>
      </c>
      <c r="B825" s="312"/>
      <c r="C825" s="63" t="s">
        <v>42</v>
      </c>
      <c r="D825" s="64" t="s">
        <v>1028</v>
      </c>
      <c r="E825" s="65"/>
      <c r="F825" s="65"/>
      <c r="G825" s="66" t="s">
        <v>1029</v>
      </c>
      <c r="H825" s="66"/>
      <c r="I825" s="67"/>
      <c r="J825" s="67"/>
      <c r="K825" s="68">
        <f>IF(VLOOKUP(D825,A!A$1:V$767,18,FALSE)="y",1,0)</f>
        <v>0</v>
      </c>
      <c r="L825" s="68">
        <f>IF(VLOOKUP(D825,A!A$1:V$767,19,FALSE)="y",1,0)</f>
        <v>0</v>
      </c>
      <c r="M825" s="92" t="str">
        <f>IF(VLOOKUP(D825,A!A$1:V$767,17,FALSE)="y","NEW","")</f>
        <v/>
      </c>
      <c r="N825" s="67">
        <f>VLOOKUP(D825,A!A$1:V$767,20,FALSE)</f>
        <v>0</v>
      </c>
      <c r="O825" s="313">
        <v>4</v>
      </c>
      <c r="P825" s="10">
        <f>VLOOKUP(D825,A!A$1:V$767,16,FALSE)</f>
        <v>0</v>
      </c>
      <c r="Q825" s="10" t="s">
        <v>1046</v>
      </c>
      <c r="R825" s="10">
        <f t="shared" si="85"/>
        <v>0</v>
      </c>
      <c r="S825" s="10">
        <f>VLOOKUP(D825,A!A$1:AK$767,33,FALSE)</f>
        <v>0</v>
      </c>
      <c r="T825" s="380">
        <v>0.83299999999999996</v>
      </c>
      <c r="U825" s="10">
        <f t="shared" si="86"/>
        <v>0</v>
      </c>
      <c r="W825" s="1"/>
      <c r="X825" s="10"/>
    </row>
    <row r="826" spans="1:24" ht="12" hidden="1" customHeight="1" x14ac:dyDescent="0.25">
      <c r="A826" s="1" t="str">
        <f>IF(R826=0,"",COUNTIF(A$23:A825,"&gt;0")+1)</f>
        <v/>
      </c>
      <c r="B826" s="381"/>
      <c r="C826" s="63" t="s">
        <v>42</v>
      </c>
      <c r="D826" s="64" t="s">
        <v>1030</v>
      </c>
      <c r="E826" s="65"/>
      <c r="F826" s="65"/>
      <c r="G826" s="66"/>
      <c r="H826" s="66"/>
      <c r="I826" s="67"/>
      <c r="J826" s="67"/>
      <c r="K826" s="68">
        <f>IF(VLOOKUP(D826,A!A$1:V$767,18,FALSE)="y",1,0)</f>
        <v>0</v>
      </c>
      <c r="L826" s="68">
        <f>IF(VLOOKUP(D826,A!A$1:V$767,19,FALSE)="y",1,0)</f>
        <v>0</v>
      </c>
      <c r="M826" s="92" t="str">
        <f>IF(VLOOKUP(D826,A!A$1:V$767,17,FALSE)="y","NEW","")</f>
        <v/>
      </c>
      <c r="N826" s="67">
        <f>VLOOKUP(D826,A!A$1:V$767,20,FALSE)</f>
        <v>0</v>
      </c>
      <c r="O826" s="313">
        <v>4</v>
      </c>
      <c r="P826" s="10">
        <f>VLOOKUP(D826,A!A$1:V$767,16,FALSE)</f>
        <v>0</v>
      </c>
      <c r="Q826" s="10" t="s">
        <v>1046</v>
      </c>
      <c r="R826" s="10">
        <f t="shared" si="85"/>
        <v>0</v>
      </c>
      <c r="S826" s="10">
        <f>VLOOKUP(D826,A!A$1:AK$767,33,FALSE)</f>
        <v>0</v>
      </c>
      <c r="T826" s="380">
        <v>0.83299999999999996</v>
      </c>
      <c r="U826" s="10">
        <f t="shared" si="86"/>
        <v>0</v>
      </c>
      <c r="W826" s="1"/>
      <c r="X826" s="10"/>
    </row>
    <row r="827" spans="1:24" ht="12" hidden="1" customHeight="1" x14ac:dyDescent="0.25">
      <c r="A827" s="1" t="str">
        <f>IF(R827=0,"",COUNTIF(A$23:A826,"&gt;0")+1)</f>
        <v/>
      </c>
      <c r="B827" s="381"/>
      <c r="C827" s="63" t="s">
        <v>42</v>
      </c>
      <c r="D827" s="64" t="s">
        <v>1033</v>
      </c>
      <c r="E827" s="65"/>
      <c r="F827" s="65"/>
      <c r="G827" s="229"/>
      <c r="H827" s="66"/>
      <c r="I827" s="67"/>
      <c r="J827" s="67"/>
      <c r="K827" s="68">
        <f>IF(VLOOKUP(D827,A!A$1:V$767,18,FALSE)="y",1,0)</f>
        <v>0</v>
      </c>
      <c r="L827" s="68">
        <f>IF(VLOOKUP(D827,A!A$1:V$767,19,FALSE)="y",1,0)</f>
        <v>0</v>
      </c>
      <c r="M827" s="92" t="str">
        <f>IF(VLOOKUP(D827,A!A$1:V$767,17,FALSE)="y","NEW","")</f>
        <v/>
      </c>
      <c r="N827" s="67">
        <f>VLOOKUP(D827,A!A$1:V$767,20,FALSE)</f>
        <v>0</v>
      </c>
      <c r="O827" s="313">
        <v>4</v>
      </c>
      <c r="P827" s="10">
        <f>VLOOKUP(D827,A!A$1:V$767,16,FALSE)</f>
        <v>0</v>
      </c>
      <c r="Q827" s="10" t="s">
        <v>1046</v>
      </c>
      <c r="R827" s="10">
        <f t="shared" si="85"/>
        <v>0</v>
      </c>
      <c r="S827" s="10">
        <f>VLOOKUP(D827,A!A$1:AK$767,33,FALSE)</f>
        <v>0</v>
      </c>
      <c r="T827" s="380">
        <v>0.83299999999999996</v>
      </c>
      <c r="U827" s="10">
        <f t="shared" si="86"/>
        <v>0</v>
      </c>
      <c r="W827" s="1"/>
      <c r="X827" s="10"/>
    </row>
    <row r="828" spans="1:24" ht="12" hidden="1" customHeight="1" x14ac:dyDescent="0.25">
      <c r="A828" s="1" t="str">
        <f>IF(R828=0,"",COUNTIF(A$23:A827,"&gt;0")+1)</f>
        <v/>
      </c>
      <c r="B828" s="381"/>
      <c r="C828" s="63" t="s">
        <v>42</v>
      </c>
      <c r="D828" s="64" t="s">
        <v>1034</v>
      </c>
      <c r="E828" s="65"/>
      <c r="F828" s="65"/>
      <c r="G828" s="229"/>
      <c r="H828" s="66"/>
      <c r="I828" s="67"/>
      <c r="J828" s="67"/>
      <c r="K828" s="68">
        <f>IF(VLOOKUP(D828,A!A$1:V$767,18,FALSE)="y",1,0)</f>
        <v>0</v>
      </c>
      <c r="L828" s="68">
        <f>IF(VLOOKUP(D828,A!A$1:V$767,19,FALSE)="y",1,0)</f>
        <v>0</v>
      </c>
      <c r="M828" s="92" t="str">
        <f>IF(VLOOKUP(D828,A!A$1:V$767,17,FALSE)="y","NEW","")</f>
        <v/>
      </c>
      <c r="N828" s="67">
        <f>VLOOKUP(D828,A!A$1:V$767,20,FALSE)</f>
        <v>0</v>
      </c>
      <c r="O828" s="313">
        <v>4</v>
      </c>
      <c r="P828" s="10">
        <f>VLOOKUP(D828,A!A$1:V$767,16,FALSE)</f>
        <v>0</v>
      </c>
      <c r="Q828" s="10" t="s">
        <v>1046</v>
      </c>
      <c r="R828" s="10">
        <f t="shared" si="85"/>
        <v>0</v>
      </c>
      <c r="S828" s="10">
        <f>VLOOKUP(D828,A!A$1:AK$767,33,FALSE)</f>
        <v>0</v>
      </c>
      <c r="T828" s="380">
        <v>0.83299999999999996</v>
      </c>
      <c r="U828" s="10">
        <f t="shared" si="86"/>
        <v>0</v>
      </c>
      <c r="W828" s="1"/>
      <c r="X828" s="10"/>
    </row>
    <row r="829" spans="1:24" ht="12" hidden="1" customHeight="1" thickBot="1" x14ac:dyDescent="0.3">
      <c r="A829" s="1" t="str">
        <f>IF(R829=0,"",COUNTIF(A$23:A828,"&gt;0")+1)</f>
        <v/>
      </c>
      <c r="B829" s="354"/>
      <c r="C829" s="317" t="s">
        <v>42</v>
      </c>
      <c r="D829" s="318" t="s">
        <v>1036</v>
      </c>
      <c r="E829" s="319"/>
      <c r="F829" s="319"/>
      <c r="G829" s="320"/>
      <c r="H829" s="322"/>
      <c r="I829" s="355"/>
      <c r="J829" s="355"/>
      <c r="K829" s="356">
        <f>IF(VLOOKUP(D829,A!A$1:V$767,18,FALSE)="y",1,0)</f>
        <v>0</v>
      </c>
      <c r="L829" s="356">
        <f>IF(VLOOKUP(D829,A!A$1:V$767,19,FALSE)="y",1,0)</f>
        <v>0</v>
      </c>
      <c r="M829" s="357" t="str">
        <f>IF(VLOOKUP(D829,A!A$1:V$767,17,FALSE)="y","NEW","")</f>
        <v/>
      </c>
      <c r="N829" s="355">
        <f>VLOOKUP(D829,A!A$1:V$767,20,FALSE)</f>
        <v>0</v>
      </c>
      <c r="O829" s="324">
        <v>4</v>
      </c>
      <c r="P829" s="10">
        <f>VLOOKUP(D829,A!A$1:V$767,16,FALSE)</f>
        <v>0</v>
      </c>
      <c r="Q829" s="10" t="s">
        <v>1046</v>
      </c>
      <c r="R829" s="10">
        <f t="shared" si="85"/>
        <v>0</v>
      </c>
      <c r="S829" s="10">
        <f>VLOOKUP(D829,A!A$1:AK$767,33,FALSE)</f>
        <v>0</v>
      </c>
      <c r="T829" s="380">
        <v>0.83299999999999996</v>
      </c>
      <c r="U829" s="10">
        <f t="shared" si="86"/>
        <v>0</v>
      </c>
      <c r="W829" s="1"/>
      <c r="X829" s="10"/>
    </row>
    <row r="830" spans="1:24" hidden="1" x14ac:dyDescent="0.25">
      <c r="A830" s="1" t="str">
        <f>IF(R830=0,"",COUNTIF(A$23:A829,"&gt;0")+1)</f>
        <v/>
      </c>
      <c r="B830" s="256">
        <f>SUM(B792:B829)</f>
        <v>0</v>
      </c>
      <c r="C830" s="358" t="s">
        <v>42</v>
      </c>
      <c r="D830" s="325" t="s">
        <v>1053</v>
      </c>
      <c r="E830" s="300"/>
      <c r="F830" s="300"/>
      <c r="G830" s="300"/>
      <c r="H830" s="300"/>
      <c r="I830" s="300"/>
      <c r="J830" s="300"/>
      <c r="K830" s="300"/>
      <c r="L830" s="300"/>
      <c r="M830" s="326"/>
      <c r="N830" s="300"/>
      <c r="O830" s="327"/>
      <c r="P830" s="75"/>
      <c r="Q830" s="10" t="s">
        <v>1046</v>
      </c>
      <c r="R830" s="10">
        <f t="shared" si="85"/>
        <v>0</v>
      </c>
      <c r="S830" s="10"/>
      <c r="T830" s="10"/>
      <c r="U830" s="10"/>
      <c r="W830" s="1"/>
      <c r="X830" s="10"/>
    </row>
    <row r="831" spans="1:24" ht="9" hidden="1" customHeight="1" x14ac:dyDescent="0.25">
      <c r="A831" s="1" t="str">
        <f>IF(R831=0,"",COUNTIF(A$23:A830,"&gt;0")+1)</f>
        <v/>
      </c>
      <c r="P831" s="10"/>
      <c r="Q831" s="10"/>
      <c r="R831" s="10"/>
      <c r="S831" s="10"/>
      <c r="T831" s="10"/>
      <c r="U831" s="10"/>
      <c r="X831" s="10"/>
    </row>
    <row r="832" spans="1:24" ht="10.5" hidden="1" customHeight="1" thickBot="1" x14ac:dyDescent="0.3">
      <c r="A832" s="1" t="str">
        <f>IF(R832=0,"",COUNTIF(A$23:A831,"&gt;0")+1)</f>
        <v/>
      </c>
      <c r="B832" s="1291" t="s">
        <v>41</v>
      </c>
      <c r="C832" s="1291"/>
      <c r="D832" s="1219" t="s">
        <v>1427</v>
      </c>
      <c r="E832" s="1219"/>
      <c r="F832" s="1219"/>
      <c r="G832" s="1219"/>
      <c r="H832" s="1219"/>
      <c r="I832" s="382"/>
      <c r="J832" s="382"/>
      <c r="K832" s="382"/>
      <c r="L832" s="1307"/>
      <c r="M832" s="1307"/>
      <c r="N832" s="1307"/>
      <c r="O832" s="301"/>
      <c r="P832" s="10"/>
      <c r="Q832" s="10"/>
      <c r="R832" s="10"/>
      <c r="S832" s="10"/>
      <c r="T832" s="10"/>
      <c r="U832" s="10"/>
      <c r="X832" s="10"/>
    </row>
    <row r="833" spans="1:24" ht="12" hidden="1" customHeight="1" thickBot="1" x14ac:dyDescent="0.3">
      <c r="A833" s="1" t="str">
        <f>IF(R833=0,"",COUNTIF(A$23:A832,"&gt;0")+1)</f>
        <v/>
      </c>
      <c r="B833" s="1220" t="s">
        <v>774</v>
      </c>
      <c r="C833" s="1220"/>
      <c r="D833" s="1219"/>
      <c r="E833" s="1219"/>
      <c r="F833" s="1219"/>
      <c r="G833" s="1219"/>
      <c r="H833" s="1219"/>
      <c r="I833" s="383"/>
      <c r="J833" s="383"/>
      <c r="K833" s="383"/>
      <c r="L833" s="1307"/>
      <c r="M833" s="1307"/>
      <c r="N833" s="1307"/>
      <c r="O833" s="332" t="s">
        <v>48</v>
      </c>
      <c r="P833" s="12"/>
      <c r="Q833" s="10"/>
      <c r="R833" s="10"/>
      <c r="S833" s="10"/>
      <c r="T833" s="10"/>
      <c r="U833" s="10"/>
      <c r="X833" s="10"/>
    </row>
    <row r="834" spans="1:24" ht="12" hidden="1" customHeight="1" x14ac:dyDescent="0.25">
      <c r="A834" s="1" t="str">
        <f>IF(R834=0,"",COUNTIF(A$23:A833,"&gt;0")+1)</f>
        <v/>
      </c>
      <c r="B834" s="583"/>
      <c r="C834" s="584" t="s">
        <v>42</v>
      </c>
      <c r="D834" s="585" t="s">
        <v>1054</v>
      </c>
      <c r="E834" s="586"/>
      <c r="F834" s="586"/>
      <c r="G834" s="587"/>
      <c r="H834" s="588" t="s">
        <v>1055</v>
      </c>
      <c r="I834" s="589"/>
      <c r="J834" s="590"/>
      <c r="K834" s="68">
        <v>1</v>
      </c>
      <c r="L834" s="591"/>
      <c r="M834" s="591"/>
      <c r="N834" s="592"/>
      <c r="O834" s="593">
        <v>4</v>
      </c>
      <c r="P834" s="10">
        <f>VLOOKUP(D834,A!A$1:G$767,2,FALSE)</f>
        <v>0</v>
      </c>
      <c r="Q834" s="10" t="s">
        <v>1414</v>
      </c>
      <c r="R834" s="10">
        <f>B834</f>
        <v>0</v>
      </c>
      <c r="S834" s="10">
        <f>VLOOKUP(D834,A!A$1:AK$767,31,FALSE)</f>
        <v>35</v>
      </c>
      <c r="T834" s="10">
        <v>7.0999999999999994E-2</v>
      </c>
      <c r="U834" s="10">
        <f>T834*B834</f>
        <v>0</v>
      </c>
      <c r="X834" s="10"/>
    </row>
    <row r="835" spans="1:24" ht="12" hidden="1" customHeight="1" thickBot="1" x14ac:dyDescent="0.3">
      <c r="A835" s="1" t="str">
        <f>IF(R835=0,"",COUNTIF(A$23:A834,"&gt;0")+1)</f>
        <v/>
      </c>
      <c r="B835" s="308"/>
      <c r="C835" s="164" t="s">
        <v>42</v>
      </c>
      <c r="D835" s="165" t="s">
        <v>1057</v>
      </c>
      <c r="E835" s="166"/>
      <c r="F835" s="367"/>
      <c r="G835" s="384"/>
      <c r="H835" s="368" t="s">
        <v>1058</v>
      </c>
      <c r="I835" s="369"/>
      <c r="J835" s="385"/>
      <c r="K835" s="68">
        <v>1</v>
      </c>
      <c r="L835" s="386"/>
      <c r="M835" s="386"/>
      <c r="N835" s="386"/>
      <c r="O835" s="372">
        <v>4</v>
      </c>
      <c r="P835" s="10">
        <f>VLOOKUP(D835,A!A$1:G$767,2,FALSE)</f>
        <v>0</v>
      </c>
      <c r="Q835" s="10" t="s">
        <v>1414</v>
      </c>
      <c r="R835" s="10">
        <f>B835</f>
        <v>0</v>
      </c>
      <c r="S835" s="10">
        <f>VLOOKUP(D835,A!A$1:AK$767,31,FALSE)</f>
        <v>35</v>
      </c>
      <c r="T835" s="10">
        <v>7.0999999999999994E-2</v>
      </c>
      <c r="U835" s="10">
        <f>T835*B835</f>
        <v>0</v>
      </c>
      <c r="X835" s="10"/>
    </row>
    <row r="836" spans="1:24" ht="0.75" hidden="1" customHeight="1" thickBot="1" x14ac:dyDescent="0.3">
      <c r="A836" s="1" t="str">
        <f>IF(R836=0,"",COUNTIF(A$23:A835,"&gt;0")+1)</f>
        <v/>
      </c>
      <c r="B836" s="316"/>
      <c r="C836" s="317" t="s">
        <v>42</v>
      </c>
      <c r="D836" s="318" t="s">
        <v>1059</v>
      </c>
      <c r="E836" s="319"/>
      <c r="F836" s="367"/>
      <c r="G836" s="384"/>
      <c r="H836" s="368" t="s">
        <v>1060</v>
      </c>
      <c r="I836" s="369"/>
      <c r="J836" s="385"/>
      <c r="K836" s="386"/>
      <c r="L836" s="386"/>
      <c r="M836" s="386"/>
      <c r="N836" s="387"/>
      <c r="O836" s="372">
        <v>4</v>
      </c>
      <c r="P836" s="10">
        <f>VLOOKUP(D836,A!A$1:G$767,2,FALSE)</f>
        <v>0</v>
      </c>
      <c r="Q836" s="10" t="s">
        <v>1056</v>
      </c>
      <c r="R836" s="10">
        <f>B836</f>
        <v>0</v>
      </c>
      <c r="S836" s="10">
        <f>VLOOKUP(D836,A!A$1:AK$767,31,FALSE)</f>
        <v>35</v>
      </c>
      <c r="T836" s="10">
        <v>7.0999999999999994E-2</v>
      </c>
      <c r="U836" s="10">
        <f>T836*B836</f>
        <v>0</v>
      </c>
      <c r="X836" s="10"/>
    </row>
    <row r="837" spans="1:24" hidden="1" x14ac:dyDescent="0.25">
      <c r="A837" s="1" t="str">
        <f>IF(R837=0,"",COUNTIF(A$23:A836,"&gt;0")+1)</f>
        <v/>
      </c>
      <c r="B837" s="256">
        <f>SUM(B834:B836)</f>
        <v>0</v>
      </c>
      <c r="C837" s="358" t="s">
        <v>42</v>
      </c>
      <c r="D837" s="325" t="s">
        <v>1413</v>
      </c>
      <c r="E837" s="300"/>
      <c r="O837" s="249"/>
      <c r="P837" s="75"/>
      <c r="Q837" s="10" t="s">
        <v>1414</v>
      </c>
      <c r="R837" s="10">
        <f>B837</f>
        <v>0</v>
      </c>
      <c r="S837" s="10"/>
      <c r="T837" s="10"/>
      <c r="U837" s="10"/>
      <c r="X837" s="10"/>
    </row>
    <row r="838" spans="1:24" ht="8.25" hidden="1" customHeight="1" thickBot="1" x14ac:dyDescent="0.3">
      <c r="A838" s="1" t="str">
        <f>IF(R838=0,"",COUNTIF(A$23:A837,"&gt;0")+1)</f>
        <v/>
      </c>
      <c r="P838" s="10"/>
      <c r="Q838" s="10"/>
      <c r="R838" s="10"/>
      <c r="S838" s="10"/>
      <c r="T838" s="10"/>
      <c r="U838" s="10"/>
      <c r="X838" s="10"/>
    </row>
    <row r="839" spans="1:24" ht="8.25" hidden="1" customHeight="1" thickBot="1" x14ac:dyDescent="0.3">
      <c r="A839" s="1" t="str">
        <f>IF(R839=0,"",COUNTIF(A$23:A838,"&gt;0")+1)</f>
        <v/>
      </c>
      <c r="B839" s="1292" t="s">
        <v>41</v>
      </c>
      <c r="C839" s="1292"/>
      <c r="D839" s="1199" t="s">
        <v>1061</v>
      </c>
      <c r="E839" s="1199"/>
      <c r="F839" s="1199"/>
      <c r="G839" s="1199"/>
      <c r="H839" s="1199"/>
      <c r="I839" s="1199"/>
      <c r="J839" s="388"/>
      <c r="K839" s="388"/>
      <c r="L839" s="544"/>
      <c r="M839" s="544"/>
      <c r="N839" s="544"/>
      <c r="O839" s="389"/>
      <c r="P839" s="10"/>
      <c r="Q839" s="10"/>
      <c r="R839" s="10"/>
      <c r="S839" s="10"/>
      <c r="T839" s="10"/>
      <c r="U839" s="10"/>
      <c r="X839" s="10"/>
    </row>
    <row r="840" spans="1:24" ht="9.75" hidden="1" customHeight="1" thickBot="1" x14ac:dyDescent="0.3">
      <c r="A840" s="1" t="str">
        <f>IF(R840=0,"",COUNTIF(A$23:A839,"&gt;0")+1)</f>
        <v/>
      </c>
      <c r="B840" s="1293" t="s">
        <v>774</v>
      </c>
      <c r="C840" s="1293"/>
      <c r="D840" s="1199"/>
      <c r="E840" s="1199"/>
      <c r="F840" s="1199"/>
      <c r="G840" s="1199"/>
      <c r="H840" s="1199"/>
      <c r="I840" s="1199"/>
      <c r="J840" s="390"/>
      <c r="K840" s="390"/>
      <c r="L840" s="544"/>
      <c r="M840" s="544"/>
      <c r="N840" s="544"/>
      <c r="O840" s="391" t="s">
        <v>48</v>
      </c>
      <c r="P840" s="12"/>
      <c r="Q840" s="10"/>
      <c r="R840" s="10"/>
      <c r="S840" s="10"/>
      <c r="T840" s="10"/>
      <c r="U840" s="10"/>
      <c r="X840" s="10"/>
    </row>
    <row r="841" spans="1:24" ht="11.25" hidden="1" customHeight="1" thickBot="1" x14ac:dyDescent="0.3">
      <c r="A841" s="1" t="str">
        <f>IF(R841=0,"",COUNTIF(A$23:A840,"&gt;0")+1)</f>
        <v/>
      </c>
      <c r="B841" s="392"/>
      <c r="C841" s="393" t="s">
        <v>51</v>
      </c>
      <c r="D841" s="394" t="s">
        <v>1062</v>
      </c>
      <c r="E841" s="394"/>
      <c r="F841" s="394"/>
      <c r="G841" s="395" t="s">
        <v>869</v>
      </c>
      <c r="H841" s="396" t="s">
        <v>1063</v>
      </c>
      <c r="I841" s="397">
        <f>VLOOKUP(D841,A!A$1:H$767,8,FALSE)</f>
        <v>2</v>
      </c>
      <c r="J841" s="398" t="s">
        <v>63</v>
      </c>
      <c r="K841" s="399">
        <f>IF(VLOOKUP(D841,A!A$1:H$767,4,FALSE)="y",1,0)</f>
        <v>0</v>
      </c>
      <c r="L841" s="399">
        <f>IF(VLOOKUP(D841,A!A$1:H$767,5,FALSE)="y",1,0)</f>
        <v>0</v>
      </c>
      <c r="M841" s="400" t="str">
        <f>IF(VLOOKUP(D841,A!A$1:H$767,3,FALSE)="y","NEW","")</f>
        <v/>
      </c>
      <c r="N841" s="397">
        <f>VLOOKUP(D841,A!A$1:H$767,6,FALSE)</f>
        <v>0</v>
      </c>
      <c r="O841" s="401">
        <v>5</v>
      </c>
      <c r="P841" s="10">
        <f>VLOOKUP(D841,A!A$1:G$767,2,FALSE)</f>
        <v>0</v>
      </c>
      <c r="Q841" s="10" t="s">
        <v>891</v>
      </c>
      <c r="R841" s="10">
        <f>B841</f>
        <v>0</v>
      </c>
      <c r="S841" s="10"/>
      <c r="T841" s="10"/>
      <c r="U841" s="10"/>
      <c r="X841" s="10"/>
    </row>
    <row r="842" spans="1:24" ht="11.25" hidden="1" customHeight="1" thickBot="1" x14ac:dyDescent="0.3">
      <c r="A842" s="1" t="str">
        <f>IF(R842=0,"",COUNTIF(A$23:A841,"&gt;0")+1)</f>
        <v/>
      </c>
      <c r="P842" s="10"/>
      <c r="Q842" s="10"/>
      <c r="R842" s="10"/>
      <c r="S842" s="10"/>
      <c r="T842" s="10"/>
      <c r="U842" s="10"/>
      <c r="X842" s="10"/>
    </row>
    <row r="843" spans="1:24" ht="12" hidden="1" customHeight="1" thickBot="1" x14ac:dyDescent="0.3">
      <c r="A843" s="1" t="str">
        <f>IF(R843=0,"",COUNTIF(A$23:A842,"&gt;0")+1)</f>
        <v/>
      </c>
      <c r="B843" s="1291" t="s">
        <v>41</v>
      </c>
      <c r="C843" s="1291"/>
      <c r="D843" s="1219" t="s">
        <v>1064</v>
      </c>
      <c r="E843" s="1219"/>
      <c r="F843" s="1219"/>
      <c r="G843" s="1219"/>
      <c r="H843" s="543"/>
      <c r="I843" s="543"/>
      <c r="J843" s="543"/>
      <c r="K843" s="300"/>
      <c r="L843" s="300"/>
      <c r="M843" s="326"/>
      <c r="N843" s="300"/>
      <c r="O843" s="301"/>
      <c r="P843" s="10"/>
      <c r="Q843" s="10"/>
      <c r="R843" s="10"/>
      <c r="S843" s="10"/>
      <c r="T843" s="10"/>
      <c r="U843" s="10"/>
      <c r="X843" s="10"/>
    </row>
    <row r="844" spans="1:24" ht="12" hidden="1" customHeight="1" thickBot="1" x14ac:dyDescent="0.3">
      <c r="A844" s="1" t="str">
        <f>IF(R844=0,"",COUNTIF(A$23:A843,"&gt;0")+1)</f>
        <v/>
      </c>
      <c r="B844" s="1220" t="s">
        <v>774</v>
      </c>
      <c r="C844" s="1220"/>
      <c r="D844" s="1219"/>
      <c r="E844" s="1219"/>
      <c r="F844" s="1219"/>
      <c r="G844" s="1219"/>
      <c r="H844" s="543"/>
      <c r="I844" s="543"/>
      <c r="J844" s="543"/>
      <c r="K844" s="331"/>
      <c r="L844" s="331"/>
      <c r="M844" s="371" t="s">
        <v>1044</v>
      </c>
      <c r="N844" s="331"/>
      <c r="O844" s="332" t="s">
        <v>48</v>
      </c>
      <c r="P844" s="12"/>
      <c r="Q844" s="10"/>
      <c r="R844" s="10"/>
      <c r="S844" s="10"/>
      <c r="T844" s="10"/>
      <c r="U844" s="10"/>
      <c r="X844" s="10"/>
    </row>
    <row r="845" spans="1:24" ht="11.25" hidden="1" customHeight="1" x14ac:dyDescent="0.25">
      <c r="A845" s="1" t="str">
        <f>IF(R845=0,"",COUNTIF(A$23:A844,"&gt;0")+1)</f>
        <v/>
      </c>
      <c r="B845" s="308"/>
      <c r="C845" s="164" t="s">
        <v>42</v>
      </c>
      <c r="D845" s="165" t="s">
        <v>943</v>
      </c>
      <c r="E845" s="166"/>
      <c r="F845" s="166" t="s">
        <v>483</v>
      </c>
      <c r="G845" s="309"/>
      <c r="H845" s="402" t="s">
        <v>1065</v>
      </c>
      <c r="I845" s="150"/>
      <c r="J845" s="150"/>
      <c r="K845" s="68">
        <f>IF(VLOOKUP(D845,A!A$1:AC$767,25,FALSE)="y",1,0)</f>
        <v>0</v>
      </c>
      <c r="L845" s="68">
        <f>IF(VLOOKUP(D845,A!A$1:AC$767,26,FALSE)="y",1,0)</f>
        <v>0</v>
      </c>
      <c r="M845" s="149" t="str">
        <f>IF(VLOOKUP(D845,A!A$1:AC$767,24,FALSE)="y","NEW","")</f>
        <v/>
      </c>
      <c r="N845" s="150">
        <f>VLOOKUP(D845,A!A$1:AC$767,27,FALSE)</f>
        <v>0</v>
      </c>
      <c r="O845" s="311">
        <v>4</v>
      </c>
      <c r="P845" s="10">
        <f>VLOOKUP(D845,A!A$1:AC$767,23,FALSE)</f>
        <v>0</v>
      </c>
      <c r="Q845" s="10" t="s">
        <v>1066</v>
      </c>
      <c r="R845" s="10">
        <f t="shared" ref="R845:R850" si="87">B845</f>
        <v>0</v>
      </c>
      <c r="S845" s="10">
        <f>VLOOKUP(D845,A!A$1:AK$767,34,FALSE)</f>
        <v>45</v>
      </c>
      <c r="T845" s="10">
        <v>0.1</v>
      </c>
      <c r="U845" s="10">
        <f>T845*B845</f>
        <v>0</v>
      </c>
      <c r="X845" s="10"/>
    </row>
    <row r="846" spans="1:24" ht="11.25" hidden="1" customHeight="1" thickBot="1" x14ac:dyDescent="0.3">
      <c r="A846" s="1" t="str">
        <f>IF(R846=0,"",COUNTIF(A$23:A845,"&gt;0")+1)</f>
        <v/>
      </c>
      <c r="B846" s="312"/>
      <c r="C846" s="63" t="s">
        <v>42</v>
      </c>
      <c r="D846" s="64" t="s">
        <v>947</v>
      </c>
      <c r="E846" s="65"/>
      <c r="F846" s="65" t="s">
        <v>483</v>
      </c>
      <c r="G846" s="229"/>
      <c r="H846" s="403" t="s">
        <v>1067</v>
      </c>
      <c r="I846" s="67"/>
      <c r="J846" s="67"/>
      <c r="K846" s="68">
        <f>IF(VLOOKUP(D846,A!A$1:AC$767,25,FALSE)="y",1,0)</f>
        <v>0</v>
      </c>
      <c r="L846" s="68">
        <f>IF(VLOOKUP(D846,A!A$1:AC$767,26,FALSE)="y",1,0)</f>
        <v>0</v>
      </c>
      <c r="M846" s="149" t="str">
        <f>IF(VLOOKUP(D846,A!A$1:AC$767,24,FALSE)="y","NEW","")</f>
        <v/>
      </c>
      <c r="N846" s="150">
        <f>VLOOKUP(D846,A!A$1:AC$767,27,FALSE)</f>
        <v>0</v>
      </c>
      <c r="O846" s="313">
        <v>4</v>
      </c>
      <c r="P846" s="10">
        <f>VLOOKUP(D846,A!A$1:AC$767,23,FALSE)</f>
        <v>0</v>
      </c>
      <c r="Q846" s="10" t="s">
        <v>1066</v>
      </c>
      <c r="R846" s="10">
        <f t="shared" si="87"/>
        <v>0</v>
      </c>
      <c r="S846" s="10">
        <f>VLOOKUP(D846,A!A$1:AK$767,34,FALSE)</f>
        <v>45</v>
      </c>
      <c r="T846" s="10">
        <v>0.1</v>
      </c>
      <c r="U846" s="10">
        <f>T846*B846</f>
        <v>0</v>
      </c>
      <c r="X846" s="10"/>
    </row>
    <row r="847" spans="1:24" ht="11.25" hidden="1" customHeight="1" x14ac:dyDescent="0.25">
      <c r="A847" s="1" t="str">
        <f>IF(R847=0,"",COUNTIF(A$23:A846,"&gt;0")+1)</f>
        <v/>
      </c>
      <c r="B847" s="312"/>
      <c r="C847" s="63" t="s">
        <v>42</v>
      </c>
      <c r="D847" s="64" t="s">
        <v>948</v>
      </c>
      <c r="E847" s="65"/>
      <c r="F847" s="65" t="s">
        <v>483</v>
      </c>
      <c r="G847" s="229"/>
      <c r="H847" s="404" t="s">
        <v>1068</v>
      </c>
      <c r="I847" s="67"/>
      <c r="J847" s="67"/>
      <c r="K847" s="68">
        <f>IF(VLOOKUP(D847,A!A$1:AC$767,25,FALSE)="y",1,0)</f>
        <v>0</v>
      </c>
      <c r="L847" s="68">
        <f>IF(VLOOKUP(D847,A!A$1:AC$767,26,FALSE)="y",1,0)</f>
        <v>0</v>
      </c>
      <c r="M847" s="149" t="str">
        <f>IF(VLOOKUP(D847,A!A$1:AC$767,24,FALSE)="y","NEW","")</f>
        <v/>
      </c>
      <c r="N847" s="150">
        <f>VLOOKUP(D847,A!A$1:AC$767,27,FALSE)</f>
        <v>0</v>
      </c>
      <c r="O847" s="313">
        <v>4</v>
      </c>
      <c r="P847" s="10">
        <f>VLOOKUP(D847,A!A$1:AC$767,23,FALSE)</f>
        <v>0</v>
      </c>
      <c r="Q847" s="10" t="s">
        <v>1066</v>
      </c>
      <c r="R847" s="10">
        <f t="shared" si="87"/>
        <v>0</v>
      </c>
      <c r="S847" s="10">
        <f>VLOOKUP(D847,A!A$1:AK$767,34,FALSE)</f>
        <v>45</v>
      </c>
      <c r="T847" s="10">
        <v>0.1</v>
      </c>
      <c r="U847" s="10">
        <f>T847*B847</f>
        <v>0</v>
      </c>
      <c r="X847" s="10"/>
    </row>
    <row r="848" spans="1:24" ht="11.25" hidden="1" customHeight="1" x14ac:dyDescent="0.25">
      <c r="A848" s="1" t="str">
        <f>IF(R848=0,"",COUNTIF(A$23:A847,"&gt;0")+1)</f>
        <v/>
      </c>
      <c r="B848" s="312"/>
      <c r="C848" s="63" t="s">
        <v>42</v>
      </c>
      <c r="D848" s="64" t="s">
        <v>949</v>
      </c>
      <c r="E848" s="65"/>
      <c r="F848" s="65" t="s">
        <v>483</v>
      </c>
      <c r="G848" s="229"/>
      <c r="H848" s="66" t="s">
        <v>1069</v>
      </c>
      <c r="I848" s="67"/>
      <c r="J848" s="67"/>
      <c r="K848" s="68">
        <f>IF(VLOOKUP(D848,A!A$1:AC$767,25,FALSE)="y",1,0)</f>
        <v>0</v>
      </c>
      <c r="L848" s="68">
        <f>IF(VLOOKUP(D848,A!A$1:AC$767,26,FALSE)="y",1,0)</f>
        <v>0</v>
      </c>
      <c r="M848" s="149" t="str">
        <f>IF(VLOOKUP(D848,A!A$1:AC$767,24,FALSE)="y","NEW","")</f>
        <v/>
      </c>
      <c r="N848" s="150">
        <f>VLOOKUP(D848,A!A$1:AC$767,27,FALSE)</f>
        <v>0</v>
      </c>
      <c r="O848" s="313">
        <v>4</v>
      </c>
      <c r="P848" s="10">
        <f>VLOOKUP(D848,A!A$1:AC$767,23,FALSE)</f>
        <v>0</v>
      </c>
      <c r="Q848" s="10" t="s">
        <v>1066</v>
      </c>
      <c r="R848" s="10">
        <f t="shared" si="87"/>
        <v>0</v>
      </c>
      <c r="S848" s="10">
        <f>VLOOKUP(D848,A!A$1:AK$767,34,FALSE)</f>
        <v>45</v>
      </c>
      <c r="T848" s="10">
        <v>0.1</v>
      </c>
      <c r="U848" s="10">
        <f>T848*B848</f>
        <v>0</v>
      </c>
      <c r="X848" s="10"/>
    </row>
    <row r="849" spans="1:24" ht="11.25" hidden="1" customHeight="1" thickBot="1" x14ac:dyDescent="0.3">
      <c r="A849" s="1" t="str">
        <f>IF(R849=0,"",COUNTIF(A$23:A848,"&gt;0")+1)</f>
        <v/>
      </c>
      <c r="B849" s="316"/>
      <c r="C849" s="317" t="s">
        <v>42</v>
      </c>
      <c r="D849" s="318" t="s">
        <v>950</v>
      </c>
      <c r="E849" s="319"/>
      <c r="F849" s="319" t="s">
        <v>483</v>
      </c>
      <c r="G849" s="320"/>
      <c r="H849" s="322" t="s">
        <v>1070</v>
      </c>
      <c r="I849" s="355"/>
      <c r="J849" s="355"/>
      <c r="K849" s="356">
        <f>IF(VLOOKUP(D849,A!A$1:AC$767,25,FALSE)="y",1,0)</f>
        <v>0</v>
      </c>
      <c r="L849" s="356">
        <f>IF(VLOOKUP(D849,A!A$1:AC$767,26,FALSE)="y",1,0)</f>
        <v>0</v>
      </c>
      <c r="M849" s="357" t="str">
        <f>IF(VLOOKUP(D849,A!A$1:AC$767,24,FALSE)="y","NEW","")</f>
        <v/>
      </c>
      <c r="N849" s="355">
        <f>VLOOKUP(D849,A!A$1:AC$767,27,FALSE)</f>
        <v>0</v>
      </c>
      <c r="O849" s="324">
        <v>4</v>
      </c>
      <c r="P849" s="10">
        <f>VLOOKUP(D849,A!A$1:AC$767,23,FALSE)</f>
        <v>0</v>
      </c>
      <c r="Q849" s="10" t="s">
        <v>1066</v>
      </c>
      <c r="R849" s="10">
        <f t="shared" si="87"/>
        <v>0</v>
      </c>
      <c r="S849" s="10">
        <f>VLOOKUP(D849,A!A$1:AK$767,34,FALSE)</f>
        <v>45</v>
      </c>
      <c r="T849" s="10">
        <v>0.1</v>
      </c>
      <c r="U849" s="10">
        <f>T849*B849</f>
        <v>0</v>
      </c>
      <c r="X849" s="10"/>
    </row>
    <row r="850" spans="1:24" hidden="1" x14ac:dyDescent="0.25">
      <c r="A850" s="1" t="str">
        <f>IF(R850=0,"",COUNTIF(A$23:A849,"&gt;0")+1)</f>
        <v/>
      </c>
      <c r="B850" s="58">
        <f>SUM(B845:B849)</f>
        <v>0</v>
      </c>
      <c r="C850" s="257" t="s">
        <v>42</v>
      </c>
      <c r="D850" s="172" t="s">
        <v>1071</v>
      </c>
      <c r="O850" s="249"/>
      <c r="P850" s="75"/>
      <c r="Q850" s="10" t="s">
        <v>1066</v>
      </c>
      <c r="R850" s="10">
        <f t="shared" si="87"/>
        <v>0</v>
      </c>
      <c r="S850" s="10"/>
      <c r="T850" s="10"/>
      <c r="U850" s="10"/>
      <c r="X850" s="10"/>
    </row>
    <row r="851" spans="1:24" ht="8.25" hidden="1" customHeight="1" thickBot="1" x14ac:dyDescent="0.3">
      <c r="A851" s="1" t="str">
        <f>IF(R851=0,"",COUNTIF(A$23:A850,"&gt;0")+1)</f>
        <v/>
      </c>
      <c r="P851" s="10"/>
      <c r="Q851" s="10"/>
      <c r="R851" s="10"/>
      <c r="S851" s="10"/>
      <c r="T851" s="10"/>
      <c r="U851" s="10"/>
      <c r="X851" s="10"/>
    </row>
    <row r="852" spans="1:24" ht="12" hidden="1" customHeight="1" thickBot="1" x14ac:dyDescent="0.3">
      <c r="A852" s="1" t="str">
        <f>IF(R852=0,"",COUNTIF(A$23:A851,"&gt;0")+1)</f>
        <v/>
      </c>
      <c r="B852" s="1291" t="s">
        <v>41</v>
      </c>
      <c r="C852" s="1291"/>
      <c r="D852" s="1219" t="s">
        <v>1300</v>
      </c>
      <c r="E852" s="1219"/>
      <c r="F852" s="1219"/>
      <c r="G852" s="1219"/>
      <c r="H852" s="594"/>
      <c r="I852" s="594"/>
      <c r="J852" s="594"/>
      <c r="K852" s="594"/>
      <c r="L852" s="594"/>
      <c r="M852" s="594"/>
      <c r="N852" s="300"/>
      <c r="O852" s="301"/>
      <c r="P852" s="10"/>
      <c r="Q852" s="10"/>
      <c r="R852" s="10"/>
      <c r="S852" s="10"/>
      <c r="T852" s="10"/>
      <c r="U852" s="10"/>
      <c r="X852" s="10"/>
    </row>
    <row r="853" spans="1:24" ht="9" hidden="1" customHeight="1" thickBot="1" x14ac:dyDescent="0.3">
      <c r="A853" s="1" t="str">
        <f>IF(R853=0,"",COUNTIF(A$23:A852,"&gt;0")+1)</f>
        <v/>
      </c>
      <c r="B853" s="1220" t="s">
        <v>774</v>
      </c>
      <c r="C853" s="1220"/>
      <c r="D853" s="1219"/>
      <c r="E853" s="1219"/>
      <c r="F853" s="1219"/>
      <c r="G853" s="1219"/>
      <c r="H853" s="595"/>
      <c r="I853" s="595"/>
      <c r="J853" s="595"/>
      <c r="K853" s="595"/>
      <c r="L853" s="595"/>
      <c r="M853" s="595"/>
      <c r="N853" s="331"/>
      <c r="O853" s="332" t="s">
        <v>48</v>
      </c>
      <c r="P853" s="12"/>
      <c r="Q853" s="10"/>
      <c r="R853" s="10"/>
      <c r="S853" s="10"/>
      <c r="T853" s="10"/>
      <c r="U853" s="10"/>
      <c r="X853" s="10"/>
    </row>
    <row r="854" spans="1:24" ht="11.25" hidden="1" customHeight="1" x14ac:dyDescent="0.25">
      <c r="A854" s="1" t="str">
        <f>IF(R854=0,"",COUNTIF(A$23:A853,"&gt;0")+1)</f>
        <v/>
      </c>
      <c r="B854" s="308"/>
      <c r="C854" s="164" t="s">
        <v>42</v>
      </c>
      <c r="D854" s="165" t="s">
        <v>943</v>
      </c>
      <c r="E854" s="166"/>
      <c r="F854" s="166"/>
      <c r="G854" s="309"/>
      <c r="H854" s="168" t="s">
        <v>1072</v>
      </c>
      <c r="I854" s="150"/>
      <c r="J854" s="150"/>
      <c r="K854" s="68">
        <f>IF(VLOOKUP(D854,A!A$1:H$767,4,FALSE)="y",1,0)</f>
        <v>0</v>
      </c>
      <c r="L854" s="68">
        <f>IF(VLOOKUP(D854,A!A$1:H$767,5,FALSE)="y",1,0)</f>
        <v>0</v>
      </c>
      <c r="M854" s="149" t="str">
        <f>IF(VLOOKUP(D854,A!A$1:H$767,3,FALSE)="y","NEW","")</f>
        <v/>
      </c>
      <c r="N854" s="150">
        <f>VLOOKUP(D854,A!A$1:H$767,6,FALSE)</f>
        <v>0</v>
      </c>
      <c r="O854" s="311">
        <v>4</v>
      </c>
      <c r="P854" s="10">
        <f>VLOOKUP(D854,A!A$1:G$767,2,FALSE)</f>
        <v>0</v>
      </c>
      <c r="Q854" s="10" t="s">
        <v>1073</v>
      </c>
      <c r="R854" s="10">
        <f t="shared" ref="R854:R859" si="88">B854</f>
        <v>0</v>
      </c>
      <c r="S854" s="10">
        <f>VLOOKUP(D854,A!A$1:AK$767,31,FALSE)</f>
        <v>25</v>
      </c>
      <c r="T854" s="10">
        <v>0.3</v>
      </c>
      <c r="U854" s="10">
        <f t="shared" ref="U854:U859" si="89">T854*B854</f>
        <v>0</v>
      </c>
      <c r="X854" s="10"/>
    </row>
    <row r="855" spans="1:24" ht="11.25" hidden="1" customHeight="1" x14ac:dyDescent="0.25">
      <c r="A855" s="1" t="str">
        <f>IF(R855=0,"",COUNTIF(A$23:A854,"&gt;0")+1)</f>
        <v/>
      </c>
      <c r="B855" s="312"/>
      <c r="C855" s="63" t="s">
        <v>42</v>
      </c>
      <c r="D855" s="64" t="s">
        <v>947</v>
      </c>
      <c r="E855" s="65"/>
      <c r="F855" s="65"/>
      <c r="G855" s="229"/>
      <c r="H855" s="66" t="s">
        <v>1067</v>
      </c>
      <c r="I855" s="67"/>
      <c r="J855" s="67"/>
      <c r="K855" s="68">
        <f>IF(VLOOKUP(D855,A!A$1:H$767,4,FALSE)="y",1,0)</f>
        <v>0</v>
      </c>
      <c r="L855" s="68">
        <f>IF(VLOOKUP(D855,A!A$1:H$767,5,FALSE)="y",1,0)</f>
        <v>0</v>
      </c>
      <c r="M855" s="149" t="str">
        <f>IF(VLOOKUP(D855,A!A$1:H$767,3,FALSE)="y","NEW","")</f>
        <v/>
      </c>
      <c r="N855" s="150">
        <f>VLOOKUP(D855,A!A$1:H$767,6,FALSE)</f>
        <v>0</v>
      </c>
      <c r="O855" s="313">
        <v>4</v>
      </c>
      <c r="P855" s="10">
        <f>VLOOKUP(D855,A!A$1:G$767,2,FALSE)</f>
        <v>0</v>
      </c>
      <c r="Q855" s="10" t="s">
        <v>1073</v>
      </c>
      <c r="R855" s="10">
        <f t="shared" si="88"/>
        <v>0</v>
      </c>
      <c r="S855" s="10">
        <f>VLOOKUP(D855,A!A$1:AK$767,31,FALSE)</f>
        <v>25</v>
      </c>
      <c r="T855" s="10">
        <v>0.3</v>
      </c>
      <c r="U855" s="10">
        <f t="shared" si="89"/>
        <v>0</v>
      </c>
      <c r="X855" s="10"/>
    </row>
    <row r="856" spans="1:24" ht="11.25" hidden="1" customHeight="1" x14ac:dyDescent="0.25">
      <c r="A856" s="1" t="str">
        <f>IF(R856=0,"",COUNTIF(A$23:A855,"&gt;0")+1)</f>
        <v/>
      </c>
      <c r="B856" s="312"/>
      <c r="C856" s="63" t="s">
        <v>42</v>
      </c>
      <c r="D856" s="64" t="s">
        <v>948</v>
      </c>
      <c r="E856" s="65"/>
      <c r="F856" s="65"/>
      <c r="G856" s="229"/>
      <c r="H856" s="66" t="s">
        <v>1068</v>
      </c>
      <c r="I856" s="67"/>
      <c r="J856" s="67"/>
      <c r="K856" s="68">
        <f>IF(VLOOKUP(D856,A!A$1:H$767,4,FALSE)="y",1,0)</f>
        <v>0</v>
      </c>
      <c r="L856" s="68">
        <f>IF(VLOOKUP(D856,A!A$1:H$767,5,FALSE)="y",1,0)</f>
        <v>0</v>
      </c>
      <c r="M856" s="149" t="str">
        <f>IF(VLOOKUP(D856,A!A$1:H$767,3,FALSE)="y","NEW","")</f>
        <v/>
      </c>
      <c r="N856" s="150">
        <f>VLOOKUP(D856,A!A$1:H$767,6,FALSE)</f>
        <v>0</v>
      </c>
      <c r="O856" s="313">
        <v>4</v>
      </c>
      <c r="P856" s="10">
        <f>VLOOKUP(D856,A!A$1:G$767,2,FALSE)</f>
        <v>0</v>
      </c>
      <c r="Q856" s="10" t="s">
        <v>1073</v>
      </c>
      <c r="R856" s="10">
        <f t="shared" si="88"/>
        <v>0</v>
      </c>
      <c r="S856" s="10">
        <f>VLOOKUP(D856,A!A$1:AK$767,31,FALSE)</f>
        <v>25</v>
      </c>
      <c r="T856" s="10">
        <v>0.3</v>
      </c>
      <c r="U856" s="10">
        <f t="shared" si="89"/>
        <v>0</v>
      </c>
      <c r="X856" s="10"/>
    </row>
    <row r="857" spans="1:24" ht="11.25" hidden="1" customHeight="1" x14ac:dyDescent="0.25">
      <c r="A857" s="1" t="str">
        <f>IF(R857=0,"",COUNTIF(A$23:A856,"&gt;0")+1)</f>
        <v/>
      </c>
      <c r="B857" s="312"/>
      <c r="C857" s="63" t="s">
        <v>42</v>
      </c>
      <c r="D857" s="64" t="s">
        <v>949</v>
      </c>
      <c r="E857" s="65"/>
      <c r="F857" s="65"/>
      <c r="G857" s="229"/>
      <c r="H857" s="66" t="s">
        <v>1069</v>
      </c>
      <c r="I857" s="67"/>
      <c r="J857" s="67"/>
      <c r="K857" s="68">
        <f>IF(VLOOKUP(D857,A!A$1:H$767,4,FALSE)="y",1,0)</f>
        <v>0</v>
      </c>
      <c r="L857" s="68">
        <f>IF(VLOOKUP(D857,A!A$1:H$767,5,FALSE)="y",1,0)</f>
        <v>0</v>
      </c>
      <c r="M857" s="149" t="str">
        <f>IF(VLOOKUP(D857,A!A$1:H$767,3,FALSE)="y","NEW","")</f>
        <v/>
      </c>
      <c r="N857" s="150">
        <f>VLOOKUP(D857,A!A$1:H$767,6,FALSE)</f>
        <v>0</v>
      </c>
      <c r="O857" s="313">
        <v>4</v>
      </c>
      <c r="P857" s="10">
        <f>VLOOKUP(D857,A!A$1:G$767,2,FALSE)</f>
        <v>0</v>
      </c>
      <c r="Q857" s="10" t="s">
        <v>1073</v>
      </c>
      <c r="R857" s="10">
        <f t="shared" si="88"/>
        <v>0</v>
      </c>
      <c r="S857" s="10">
        <f>VLOOKUP(D857,A!A$1:AK$767,31,FALSE)</f>
        <v>25</v>
      </c>
      <c r="T857" s="10">
        <v>0.3</v>
      </c>
      <c r="U857" s="10">
        <f t="shared" si="89"/>
        <v>0</v>
      </c>
      <c r="X857" s="10"/>
    </row>
    <row r="858" spans="1:24" ht="11.25" hidden="1" customHeight="1" thickBot="1" x14ac:dyDescent="0.3">
      <c r="A858" s="1" t="str">
        <f>IF(R858=0,"",COUNTIF(A$23:A857,"&gt;0")+1)</f>
        <v/>
      </c>
      <c r="B858" s="364"/>
      <c r="C858" s="317" t="s">
        <v>42</v>
      </c>
      <c r="D858" s="318" t="s">
        <v>950</v>
      </c>
      <c r="E858" s="367"/>
      <c r="F858" s="367"/>
      <c r="G858" s="384"/>
      <c r="H858" s="405" t="s">
        <v>1070</v>
      </c>
      <c r="I858" s="355"/>
      <c r="J858" s="355"/>
      <c r="K858" s="356">
        <f>IF(VLOOKUP(D858,A!A$1:H$767,4,FALSE)="y",1,0)</f>
        <v>0</v>
      </c>
      <c r="L858" s="356">
        <f>IF(VLOOKUP(D858,A!A$1:H$767,5,FALSE)="y",1,0)</f>
        <v>0</v>
      </c>
      <c r="M858" s="357" t="str">
        <f>IF(VLOOKUP(D858,A!A$1:H$767,3,FALSE)="y","NEW","")</f>
        <v/>
      </c>
      <c r="N858" s="355">
        <f>VLOOKUP(D858,A!A$1:H$767,6,FALSE)</f>
        <v>0</v>
      </c>
      <c r="O858" s="324">
        <v>4</v>
      </c>
      <c r="P858" s="10">
        <f>VLOOKUP(D858,A!A$1:G$767,2,FALSE)</f>
        <v>0</v>
      </c>
      <c r="Q858" s="10" t="s">
        <v>1073</v>
      </c>
      <c r="R858" s="10">
        <f t="shared" si="88"/>
        <v>0</v>
      </c>
      <c r="S858" s="10">
        <f>VLOOKUP(D858,A!A$1:AK$767,31,FALSE)</f>
        <v>25</v>
      </c>
      <c r="T858" s="10">
        <v>0.3</v>
      </c>
      <c r="U858" s="10">
        <f t="shared" si="89"/>
        <v>0</v>
      </c>
      <c r="X858" s="10"/>
    </row>
    <row r="859" spans="1:24" hidden="1" x14ac:dyDescent="0.25">
      <c r="A859" s="1" t="str">
        <f>IF(R859=0,"",COUNTIF(A$23:A858,"&gt;0")+1)</f>
        <v/>
      </c>
      <c r="B859" s="58">
        <f>SUM(B854:B858)</f>
        <v>0</v>
      </c>
      <c r="C859" s="257" t="s">
        <v>42</v>
      </c>
      <c r="D859" s="172" t="s">
        <v>1074</v>
      </c>
      <c r="O859" s="249"/>
      <c r="P859" s="75"/>
      <c r="Q859" s="10" t="s">
        <v>1073</v>
      </c>
      <c r="R859" s="10">
        <f t="shared" si="88"/>
        <v>0</v>
      </c>
      <c r="S859" s="10"/>
      <c r="T859" s="10"/>
      <c r="U859" s="10">
        <f t="shared" si="89"/>
        <v>0</v>
      </c>
      <c r="X859" s="10"/>
    </row>
    <row r="860" spans="1:24" ht="9.75" hidden="1" customHeight="1" x14ac:dyDescent="0.25">
      <c r="A860" s="1" t="str">
        <f>IF(R860=0,"",COUNTIF(A$23:A859,"&gt;0")+1)</f>
        <v/>
      </c>
      <c r="P860" s="10"/>
      <c r="Q860" s="10"/>
      <c r="R860" s="10"/>
      <c r="S860" s="10"/>
      <c r="T860" s="10"/>
      <c r="U860" s="10"/>
      <c r="X860" s="10"/>
    </row>
    <row r="861" spans="1:24" ht="9.75" hidden="1" customHeight="1" thickBot="1" x14ac:dyDescent="0.3">
      <c r="A861" s="1" t="str">
        <f>IF(R861=0,"",COUNTIF(A$23:A860,"&gt;0")+1)</f>
        <v/>
      </c>
      <c r="B861" s="1291" t="s">
        <v>41</v>
      </c>
      <c r="C861" s="1291"/>
      <c r="D861" s="1295" t="s">
        <v>1075</v>
      </c>
      <c r="E861" s="1295"/>
      <c r="F861" s="1295"/>
      <c r="G861" s="1295"/>
      <c r="H861" s="1294" t="s">
        <v>44</v>
      </c>
      <c r="I861" s="328" t="s">
        <v>1076</v>
      </c>
      <c r="J861" s="328"/>
      <c r="K861" s="328"/>
      <c r="L861" s="328"/>
      <c r="M861" s="328"/>
      <c r="N861" s="328"/>
      <c r="O861" s="329"/>
      <c r="P861" s="10"/>
      <c r="Q861" s="10"/>
      <c r="R861" s="10"/>
      <c r="S861" s="10"/>
      <c r="T861" s="10"/>
      <c r="U861" s="10"/>
      <c r="X861" s="10"/>
    </row>
    <row r="862" spans="1:24" ht="11.25" hidden="1" customHeight="1" thickBot="1" x14ac:dyDescent="0.3">
      <c r="A862" s="1" t="str">
        <f>IF(R862=0,"",COUNTIF(A$23:A861,"&gt;0")+1)</f>
        <v/>
      </c>
      <c r="B862" s="1220" t="s">
        <v>774</v>
      </c>
      <c r="C862" s="1220"/>
      <c r="D862" s="1295"/>
      <c r="E862" s="1295"/>
      <c r="F862" s="1295"/>
      <c r="G862" s="1295"/>
      <c r="H862" s="1294"/>
      <c r="I862" s="330" t="s">
        <v>47</v>
      </c>
      <c r="J862" s="331"/>
      <c r="K862" s="331"/>
      <c r="L862" s="331"/>
      <c r="M862" s="330"/>
      <c r="N862" s="331"/>
      <c r="O862" s="332" t="s">
        <v>48</v>
      </c>
      <c r="P862" s="75" t="s">
        <v>49</v>
      </c>
      <c r="Q862" s="10"/>
      <c r="R862" s="10"/>
      <c r="S862" s="10"/>
      <c r="T862" s="10"/>
      <c r="U862" s="10"/>
      <c r="X862" s="10"/>
    </row>
    <row r="863" spans="1:24" ht="11.25" hidden="1" customHeight="1" x14ac:dyDescent="0.25">
      <c r="A863" s="1" t="str">
        <f>IF(R863=0,"",COUNTIF(A$23:A862,"&gt;0")+1)</f>
        <v/>
      </c>
      <c r="B863" s="333"/>
      <c r="C863" s="334" t="s">
        <v>42</v>
      </c>
      <c r="D863" s="335" t="s">
        <v>1077</v>
      </c>
      <c r="E863" s="336"/>
      <c r="F863" s="336"/>
      <c r="G863" s="406" t="s">
        <v>956</v>
      </c>
      <c r="H863" s="338" t="s">
        <v>956</v>
      </c>
      <c r="I863" s="407"/>
      <c r="J863" s="340"/>
      <c r="K863" s="68">
        <f>IF(VLOOKUP(D863,A!A$1:H$767,4,FALSE)="y",1,0)</f>
        <v>0</v>
      </c>
      <c r="L863" s="68">
        <f>IF(VLOOKUP(D863,A!A$1:H$767,5,FALSE)="y",1,0)</f>
        <v>0</v>
      </c>
      <c r="M863" s="149" t="str">
        <f>IF(VLOOKUP(D863,A!A$1:H$767,3,FALSE)="y","NEW","")</f>
        <v/>
      </c>
      <c r="N863" s="150">
        <f>VLOOKUP(D863,A!A$1:H$767,6,FALSE)</f>
        <v>0</v>
      </c>
      <c r="O863" s="343">
        <v>4</v>
      </c>
      <c r="P863" s="10">
        <f>VLOOKUP(D863,A!A$1:G$767,2,FALSE)</f>
        <v>0</v>
      </c>
      <c r="Q863" s="10" t="s">
        <v>1078</v>
      </c>
      <c r="R863" s="10">
        <f t="shared" ref="R863:R871" si="90">B863</f>
        <v>0</v>
      </c>
      <c r="S863" s="10">
        <f>VLOOKUP(D863,A!A$1:AK$767,31,FALSE)</f>
        <v>25</v>
      </c>
      <c r="T863" s="10">
        <v>0.02</v>
      </c>
      <c r="U863" s="10">
        <f t="shared" ref="U863:U870" si="91">T863*B863</f>
        <v>0</v>
      </c>
      <c r="X863" s="10"/>
    </row>
    <row r="864" spans="1:24" ht="11.25" hidden="1" customHeight="1" x14ac:dyDescent="0.25">
      <c r="A864" s="1" t="str">
        <f>IF(R864=0,"",COUNTIF(A$23:A863,"&gt;0")+1)</f>
        <v/>
      </c>
      <c r="B864" s="312"/>
      <c r="C864" s="63" t="s">
        <v>42</v>
      </c>
      <c r="D864" s="64" t="s">
        <v>1079</v>
      </c>
      <c r="E864" s="65"/>
      <c r="F864" s="65"/>
      <c r="G864" s="96" t="s">
        <v>1080</v>
      </c>
      <c r="H864" s="66" t="s">
        <v>914</v>
      </c>
      <c r="I864" s="67">
        <f>VLOOKUP(D864,A!A$1:H$767,8,FALSE)</f>
        <v>1</v>
      </c>
      <c r="J864" s="67"/>
      <c r="K864" s="68">
        <f>IF(VLOOKUP(D864,A!A$1:H$767,4,FALSE)="y",1,0)</f>
        <v>0</v>
      </c>
      <c r="L864" s="68">
        <f>IF(VLOOKUP(D864,A!A$1:H$767,5,FALSE)="y",1,0)</f>
        <v>0</v>
      </c>
      <c r="M864" s="149" t="str">
        <f>IF(VLOOKUP(D864,A!A$1:H$767,3,FALSE)="y","NEW","")</f>
        <v/>
      </c>
      <c r="N864" s="150">
        <f>VLOOKUP(D864,A!A$1:H$767,6,FALSE)</f>
        <v>0</v>
      </c>
      <c r="O864" s="313">
        <v>4</v>
      </c>
      <c r="P864" s="10">
        <f>VLOOKUP(D864,A!A$1:G$767,2,FALSE)</f>
        <v>0</v>
      </c>
      <c r="Q864" s="10" t="s">
        <v>1078</v>
      </c>
      <c r="R864" s="10">
        <f t="shared" si="90"/>
        <v>0</v>
      </c>
      <c r="S864" s="10">
        <f>VLOOKUP(D864,A!A$1:AK$767,31,FALSE)</f>
        <v>25</v>
      </c>
      <c r="T864" s="10">
        <v>0.02</v>
      </c>
      <c r="U864" s="10">
        <f t="shared" si="91"/>
        <v>0</v>
      </c>
      <c r="X864" s="10"/>
    </row>
    <row r="865" spans="1:24" ht="12" hidden="1" customHeight="1" x14ac:dyDescent="0.25">
      <c r="A865" s="1" t="str">
        <f>IF(R865=0,"",COUNTIF(A$23:A864,"&gt;0")+1)</f>
        <v/>
      </c>
      <c r="B865" s="312"/>
      <c r="C865" s="63" t="s">
        <v>42</v>
      </c>
      <c r="D865" s="64" t="s">
        <v>1081</v>
      </c>
      <c r="E865" s="65"/>
      <c r="F865" s="65"/>
      <c r="G865" s="96" t="s">
        <v>1082</v>
      </c>
      <c r="H865" s="66"/>
      <c r="I865" s="67">
        <f>VLOOKUP(D865,A!A$1:H$767,8,FALSE)</f>
        <v>3</v>
      </c>
      <c r="J865" s="67"/>
      <c r="K865" s="68">
        <f>IF(VLOOKUP(D865,A!A$1:H$767,4,FALSE)="y",1,0)</f>
        <v>0</v>
      </c>
      <c r="L865" s="68">
        <f>IF(VLOOKUP(D865,A!A$1:H$767,5,FALSE)="y",1,0)</f>
        <v>0</v>
      </c>
      <c r="M865" s="149" t="str">
        <f>IF(VLOOKUP(D865,A!A$1:H$767,3,FALSE)="y","NEW","")</f>
        <v/>
      </c>
      <c r="N865" s="150">
        <f>VLOOKUP(D865,A!A$1:H$767,6,FALSE)</f>
        <v>0</v>
      </c>
      <c r="O865" s="313">
        <v>4</v>
      </c>
      <c r="P865" s="10">
        <f>VLOOKUP(D865,A!A$1:G$767,2,FALSE)</f>
        <v>0</v>
      </c>
      <c r="Q865" s="10" t="s">
        <v>1078</v>
      </c>
      <c r="R865" s="10">
        <f t="shared" si="90"/>
        <v>0</v>
      </c>
      <c r="S865" s="10">
        <f>VLOOKUP(D865,A!A$1:AK$767,31,FALSE)</f>
        <v>25</v>
      </c>
      <c r="T865" s="10">
        <v>0.02</v>
      </c>
      <c r="U865" s="10">
        <f t="shared" si="91"/>
        <v>0</v>
      </c>
      <c r="X865" s="10"/>
    </row>
    <row r="866" spans="1:24" ht="11.25" hidden="1" customHeight="1" x14ac:dyDescent="0.25">
      <c r="A866" s="1" t="str">
        <f>IF(R866=0,"",COUNTIF(A$23:A865,"&gt;0")+1)</f>
        <v/>
      </c>
      <c r="B866" s="312"/>
      <c r="C866" s="63" t="s">
        <v>42</v>
      </c>
      <c r="D866" s="64" t="s">
        <v>1083</v>
      </c>
      <c r="E866" s="65"/>
      <c r="F866" s="65"/>
      <c r="G866" s="96" t="s">
        <v>1084</v>
      </c>
      <c r="H866" s="66" t="s">
        <v>1085</v>
      </c>
      <c r="I866" s="67">
        <f>VLOOKUP(D866,A!A$1:H$767,8,FALSE)</f>
        <v>2</v>
      </c>
      <c r="J866" s="67"/>
      <c r="K866" s="68">
        <f>IF(VLOOKUP(D866,A!A$1:H$767,4,FALSE)="y",1,0)</f>
        <v>0</v>
      </c>
      <c r="L866" s="68">
        <f>IF(VLOOKUP(D866,A!A$1:H$767,5,FALSE)="y",1,0)</f>
        <v>0</v>
      </c>
      <c r="M866" s="706" t="s">
        <v>64</v>
      </c>
      <c r="N866" s="150">
        <f>VLOOKUP(D866,A!A$1:H$767,6,FALSE)</f>
        <v>0</v>
      </c>
      <c r="O866" s="313">
        <v>4</v>
      </c>
      <c r="P866" s="10">
        <f>VLOOKUP(D866,A!A$1:G$767,2,FALSE)</f>
        <v>0</v>
      </c>
      <c r="Q866" s="10" t="s">
        <v>1078</v>
      </c>
      <c r="R866" s="10">
        <f t="shared" si="90"/>
        <v>0</v>
      </c>
      <c r="S866" s="10">
        <f>VLOOKUP(D866,A!A$1:AK$767,31,FALSE)</f>
        <v>25</v>
      </c>
      <c r="T866" s="10">
        <v>0.02</v>
      </c>
      <c r="U866" s="10">
        <f t="shared" si="91"/>
        <v>0</v>
      </c>
      <c r="X866" s="10"/>
    </row>
    <row r="867" spans="1:24" ht="11.25" hidden="1" customHeight="1" x14ac:dyDescent="0.25">
      <c r="A867" s="1" t="str">
        <f>IF(R867=0,"",COUNTIF(A$23:A866,"&gt;0")+1)</f>
        <v/>
      </c>
      <c r="B867" s="312"/>
      <c r="C867" s="63" t="s">
        <v>42</v>
      </c>
      <c r="D867" s="64" t="s">
        <v>1086</v>
      </c>
      <c r="E867" s="65"/>
      <c r="F867" s="65"/>
      <c r="G867" s="96" t="s">
        <v>1087</v>
      </c>
      <c r="H867" s="66" t="s">
        <v>1088</v>
      </c>
      <c r="I867" s="67">
        <f>VLOOKUP(D867,A!A$1:H$767,8,FALSE)</f>
        <v>2</v>
      </c>
      <c r="J867" s="67"/>
      <c r="K867" s="68">
        <f>IF(VLOOKUP(D867,A!A$1:H$767,4,FALSE)="y",1,0)</f>
        <v>0</v>
      </c>
      <c r="L867" s="68">
        <f>IF(VLOOKUP(D867,A!A$1:H$767,5,FALSE)="y",1,0)</f>
        <v>0</v>
      </c>
      <c r="M867" s="149" t="str">
        <f>IF(VLOOKUP(D867,A!A$1:H$767,3,FALSE)="y","NEW","")</f>
        <v/>
      </c>
      <c r="N867" s="150">
        <f>VLOOKUP(D867,A!A$1:H$767,6,FALSE)</f>
        <v>0</v>
      </c>
      <c r="O867" s="313">
        <v>4</v>
      </c>
      <c r="P867" s="10">
        <f>VLOOKUP(D867,A!A$1:G$767,2,FALSE)</f>
        <v>0</v>
      </c>
      <c r="Q867" s="10" t="s">
        <v>1078</v>
      </c>
      <c r="R867" s="10">
        <f t="shared" si="90"/>
        <v>0</v>
      </c>
      <c r="S867" s="10">
        <f>VLOOKUP(D867,A!A$1:AK$767,31,FALSE)</f>
        <v>25</v>
      </c>
      <c r="T867" s="10">
        <v>0.02</v>
      </c>
      <c r="U867" s="10">
        <f t="shared" si="91"/>
        <v>0</v>
      </c>
      <c r="X867" s="10"/>
    </row>
    <row r="868" spans="1:24" ht="12" hidden="1" customHeight="1" x14ac:dyDescent="0.25">
      <c r="A868" s="1" t="str">
        <f>IF(R868=0,"",COUNTIF(A$23:A867,"&gt;0")+1)</f>
        <v/>
      </c>
      <c r="B868" s="312"/>
      <c r="C868" s="63" t="s">
        <v>42</v>
      </c>
      <c r="D868" s="64" t="s">
        <v>1089</v>
      </c>
      <c r="E868" s="65"/>
      <c r="F868" s="65"/>
      <c r="G868" s="96" t="s">
        <v>1090</v>
      </c>
      <c r="H868" s="66" t="s">
        <v>1091</v>
      </c>
      <c r="I868" s="67">
        <f>VLOOKUP(D868,A!A$1:H$767,8,FALSE)</f>
        <v>2</v>
      </c>
      <c r="J868" s="67"/>
      <c r="K868" s="68">
        <f>IF(VLOOKUP(D868,A!A$1:H$767,4,FALSE)="y",1,0)</f>
        <v>0</v>
      </c>
      <c r="L868" s="68">
        <f>IF(VLOOKUP(D868,A!A$1:H$767,5,FALSE)="y",1,0)</f>
        <v>0</v>
      </c>
      <c r="M868" s="92" t="str">
        <f>IF(VLOOKUP(D868,A!A$1:H$767,3,FALSE)="y","NEW","")</f>
        <v/>
      </c>
      <c r="N868" s="67">
        <f>VLOOKUP(D868,A!A$1:H$767,6,FALSE)</f>
        <v>0</v>
      </c>
      <c r="O868" s="313">
        <v>4</v>
      </c>
      <c r="P868" s="10">
        <f>VLOOKUP(D868,A!A$1:G$767,2,FALSE)</f>
        <v>0</v>
      </c>
      <c r="Q868" s="10" t="s">
        <v>1078</v>
      </c>
      <c r="R868" s="10">
        <f t="shared" si="90"/>
        <v>0</v>
      </c>
      <c r="S868" s="10">
        <f>VLOOKUP(D868,A!A$1:AK$767,31,FALSE)</f>
        <v>25</v>
      </c>
      <c r="T868" s="10">
        <v>0.02</v>
      </c>
      <c r="U868" s="10">
        <f t="shared" si="91"/>
        <v>0</v>
      </c>
      <c r="X868" s="10"/>
    </row>
    <row r="869" spans="1:24" ht="12" hidden="1" customHeight="1" x14ac:dyDescent="0.25">
      <c r="A869" s="1" t="str">
        <f>IF(R869=0,"",COUNTIF(A$23:A868,"&gt;0")+1)</f>
        <v/>
      </c>
      <c r="B869" s="314"/>
      <c r="C869" s="577" t="s">
        <v>42</v>
      </c>
      <c r="D869" s="527" t="s">
        <v>1294</v>
      </c>
      <c r="E869" s="217"/>
      <c r="F869" s="217"/>
      <c r="G869" s="578" t="s">
        <v>1323</v>
      </c>
      <c r="H869" s="579" t="s">
        <v>1298</v>
      </c>
      <c r="I869" s="219">
        <v>2</v>
      </c>
      <c r="J869" s="219"/>
      <c r="K869" s="351"/>
      <c r="L869" s="351"/>
      <c r="M869" s="580"/>
      <c r="N869" s="219"/>
      <c r="O869" s="581"/>
      <c r="P869" s="10">
        <f>VLOOKUP(D869,A!A$1:G$767,2,FALSE)</f>
        <v>0</v>
      </c>
      <c r="Q869" s="10" t="s">
        <v>1078</v>
      </c>
      <c r="R869" s="10">
        <f>B869</f>
        <v>0</v>
      </c>
      <c r="S869" s="10">
        <f>VLOOKUP(D869,A!A$1:AK$767,31,FALSE)</f>
        <v>25</v>
      </c>
      <c r="T869" s="10">
        <v>0.02</v>
      </c>
      <c r="U869" s="10">
        <f>T869*B869</f>
        <v>0</v>
      </c>
      <c r="X869" s="10"/>
    </row>
    <row r="870" spans="1:24" ht="12" hidden="1" customHeight="1" thickBot="1" x14ac:dyDescent="0.3">
      <c r="A870" s="1" t="str">
        <f>IF(R870=0,"",COUNTIF(A$23:A869,"&gt;0")+1)</f>
        <v/>
      </c>
      <c r="B870" s="354"/>
      <c r="C870" s="317" t="s">
        <v>42</v>
      </c>
      <c r="D870" s="318" t="s">
        <v>1092</v>
      </c>
      <c r="E870" s="319"/>
      <c r="F870" s="319"/>
      <c r="G870" s="408" t="s">
        <v>1093</v>
      </c>
      <c r="H870" s="322"/>
      <c r="I870" s="355">
        <f>VLOOKUP(D870,A!A$1:H$767,8,FALSE)</f>
        <v>3</v>
      </c>
      <c r="J870" s="355"/>
      <c r="K870" s="356">
        <f>IF(VLOOKUP(D870,A!A$1:H$767,4,FALSE)="y",1,0)</f>
        <v>0</v>
      </c>
      <c r="L870" s="356">
        <f>IF(VLOOKUP(D870,A!A$1:H$767,5,FALSE)="y",1,0)</f>
        <v>0</v>
      </c>
      <c r="M870" s="357" t="str">
        <f>IF(VLOOKUP(D870,A!A$1:H$767,3,FALSE)="y","NEW","")</f>
        <v/>
      </c>
      <c r="N870" s="355">
        <f>VLOOKUP(D870,A!A$1:H$767,6,FALSE)</f>
        <v>0</v>
      </c>
      <c r="O870" s="324">
        <v>4</v>
      </c>
      <c r="P870" s="10">
        <f>VLOOKUP(D870,A!A$1:G$767,2,FALSE)</f>
        <v>0</v>
      </c>
      <c r="Q870" s="10" t="s">
        <v>1078</v>
      </c>
      <c r="R870" s="10">
        <f t="shared" si="90"/>
        <v>0</v>
      </c>
      <c r="S870" s="10">
        <f>VLOOKUP(D870,A!A$1:AK$767,31,FALSE)</f>
        <v>25</v>
      </c>
      <c r="T870" s="10">
        <v>0.02</v>
      </c>
      <c r="U870" s="10">
        <f t="shared" si="91"/>
        <v>0</v>
      </c>
      <c r="X870" s="10"/>
    </row>
    <row r="871" spans="1:24" ht="15.75" hidden="1" customHeight="1" x14ac:dyDescent="0.25">
      <c r="A871" s="1" t="str">
        <f>IF(R871=0,"",COUNTIF(A$23:A870,"&gt;0")+1)</f>
        <v/>
      </c>
      <c r="B871" s="256">
        <f>SUM(B863:B870)</f>
        <v>0</v>
      </c>
      <c r="C871" s="358" t="s">
        <v>42</v>
      </c>
      <c r="D871" s="325" t="s">
        <v>1094</v>
      </c>
      <c r="E871" s="300"/>
      <c r="F871" s="300"/>
      <c r="G871" s="300"/>
      <c r="H871" s="300"/>
      <c r="I871" s="300"/>
      <c r="J871" s="300"/>
      <c r="K871" s="300"/>
      <c r="L871" s="300"/>
      <c r="M871" s="326"/>
      <c r="N871" s="300"/>
      <c r="O871" s="327"/>
      <c r="P871" s="75"/>
      <c r="Q871" s="10" t="s">
        <v>1078</v>
      </c>
      <c r="R871" s="10">
        <f t="shared" si="90"/>
        <v>0</v>
      </c>
      <c r="S871" s="10"/>
      <c r="T871" s="10"/>
      <c r="U871" s="10"/>
      <c r="X871" s="10"/>
    </row>
    <row r="872" spans="1:24" ht="4.5" hidden="1" customHeight="1" thickBot="1" x14ac:dyDescent="0.3">
      <c r="A872" s="1" t="str">
        <f>IF(R872=0,"",COUNTIF(A$23:A871,"&gt;0")+1)</f>
        <v/>
      </c>
      <c r="P872" s="10"/>
      <c r="Q872" s="10"/>
      <c r="R872" s="10"/>
      <c r="S872" s="10"/>
      <c r="T872" s="10"/>
      <c r="U872" s="10"/>
      <c r="X872" s="10"/>
    </row>
    <row r="873" spans="1:24" ht="12.75" hidden="1" customHeight="1" thickBot="1" x14ac:dyDescent="0.3">
      <c r="A873" s="1" t="str">
        <f>IF(R873=0,"",COUNTIF(A$23:A872,"&gt;0")+1)</f>
        <v/>
      </c>
      <c r="B873" s="1291" t="s">
        <v>41</v>
      </c>
      <c r="C873" s="1291"/>
      <c r="D873" s="1219" t="s">
        <v>1095</v>
      </c>
      <c r="E873" s="1219"/>
      <c r="F873" s="1219"/>
      <c r="G873" s="1219"/>
      <c r="H873" s="1294" t="s">
        <v>584</v>
      </c>
      <c r="I873" s="328" t="s">
        <v>1096</v>
      </c>
      <c r="J873" s="328"/>
      <c r="K873" s="328"/>
      <c r="L873" s="328"/>
      <c r="M873" s="328"/>
      <c r="N873" s="328"/>
      <c r="O873" s="329"/>
      <c r="P873" s="10"/>
      <c r="Q873" s="10"/>
      <c r="R873" s="10"/>
      <c r="S873" s="10"/>
      <c r="T873" s="10"/>
      <c r="U873" s="10"/>
      <c r="X873" s="10"/>
    </row>
    <row r="874" spans="1:24" ht="9.75" hidden="1" customHeight="1" thickBot="1" x14ac:dyDescent="0.3">
      <c r="A874" s="1" t="str">
        <f>IF(R874=0,"",COUNTIF(A$23:A873,"&gt;0")+1)</f>
        <v/>
      </c>
      <c r="B874" s="1220" t="s">
        <v>774</v>
      </c>
      <c r="C874" s="1220"/>
      <c r="D874" s="1219"/>
      <c r="E874" s="1219"/>
      <c r="F874" s="1219"/>
      <c r="G874" s="1219"/>
      <c r="H874" s="1294"/>
      <c r="I874" s="330" t="s">
        <v>47</v>
      </c>
      <c r="J874" s="331"/>
      <c r="K874" s="331"/>
      <c r="L874" s="331"/>
      <c r="M874" s="330"/>
      <c r="N874" s="331"/>
      <c r="O874" s="332" t="s">
        <v>48</v>
      </c>
      <c r="P874" s="75" t="s">
        <v>49</v>
      </c>
      <c r="Q874" s="10"/>
      <c r="R874" s="10"/>
      <c r="S874" s="10"/>
      <c r="T874" s="10"/>
      <c r="U874" s="10"/>
      <c r="X874" s="10"/>
    </row>
    <row r="875" spans="1:24" ht="12.75" hidden="1" customHeight="1" x14ac:dyDescent="0.25">
      <c r="A875" s="1" t="str">
        <f>IF(R875=0,"",COUNTIF(A$23:A874,"&gt;0")+1)</f>
        <v/>
      </c>
      <c r="B875" s="308"/>
      <c r="C875" s="164" t="s">
        <v>42</v>
      </c>
      <c r="D875" s="165" t="s">
        <v>1077</v>
      </c>
      <c r="E875" s="166"/>
      <c r="F875" s="166"/>
      <c r="G875" s="167" t="s">
        <v>956</v>
      </c>
      <c r="H875" s="168" t="s">
        <v>956</v>
      </c>
      <c r="I875" s="409"/>
      <c r="J875" s="150"/>
      <c r="K875" s="68">
        <f>IF(VLOOKUP(D875,A!A$1:O$767,11,FALSE)="y",1,0)</f>
        <v>0</v>
      </c>
      <c r="L875" s="68">
        <f>IF(VLOOKUP(D875,A!A$1:O$767,12,FALSE)="y",1,0)</f>
        <v>0</v>
      </c>
      <c r="M875" s="149" t="str">
        <f>IF(VLOOKUP(D875,A!A$1:O$767,10,FALSE)="y","NEW","")</f>
        <v/>
      </c>
      <c r="N875" s="150">
        <f>VLOOKUP(D875,A!A$1:O$767,13,FALSE)</f>
        <v>0</v>
      </c>
      <c r="O875" s="311">
        <v>4</v>
      </c>
      <c r="P875" s="10">
        <f>VLOOKUP(D875,A!A$1:O$767,9,FALSE)</f>
        <v>0</v>
      </c>
      <c r="Q875" s="10" t="s">
        <v>1097</v>
      </c>
      <c r="R875" s="10">
        <f t="shared" ref="R875:R883" si="92">B875</f>
        <v>0</v>
      </c>
      <c r="S875" s="10">
        <f>VLOOKUP(D875,A!A$1:AK$767,32,FALSE)</f>
        <v>30</v>
      </c>
      <c r="T875" s="10">
        <v>4.1000000000000002E-2</v>
      </c>
      <c r="U875" s="10">
        <f t="shared" ref="U875:U882" si="93">T875*B875</f>
        <v>0</v>
      </c>
      <c r="X875" s="10"/>
    </row>
    <row r="876" spans="1:24" ht="11.25" hidden="1" customHeight="1" x14ac:dyDescent="0.25">
      <c r="A876" s="1" t="str">
        <f>IF(R876=0,"",COUNTIF(A$23:A875,"&gt;0")+1)</f>
        <v/>
      </c>
      <c r="B876" s="312"/>
      <c r="C876" s="63" t="s">
        <v>42</v>
      </c>
      <c r="D876" s="64" t="s">
        <v>1079</v>
      </c>
      <c r="E876" s="65"/>
      <c r="F876" s="65"/>
      <c r="G876" s="96" t="s">
        <v>1080</v>
      </c>
      <c r="H876" s="66" t="s">
        <v>914</v>
      </c>
      <c r="I876" s="67">
        <f>VLOOKUP(D876,A!A$1:O$767,15,FALSE)</f>
        <v>1</v>
      </c>
      <c r="J876" s="67"/>
      <c r="K876" s="68">
        <f>IF(VLOOKUP(D876,A!A$1:O$767,11,FALSE)="y",1,0)</f>
        <v>0</v>
      </c>
      <c r="L876" s="68">
        <f>IF(VLOOKUP(D876,A!A$1:O$767,12,FALSE)="y",1,0)</f>
        <v>0</v>
      </c>
      <c r="M876" s="149"/>
      <c r="N876" s="150" t="str">
        <f>VLOOKUP(D876,A!A$1:O$767,13,FALSE)</f>
        <v>y</v>
      </c>
      <c r="O876" s="313">
        <v>4</v>
      </c>
      <c r="P876" s="10">
        <f>VLOOKUP(D876,A!A$1:O$767,9,FALSE)</f>
        <v>0</v>
      </c>
      <c r="Q876" s="10" t="s">
        <v>1097</v>
      </c>
      <c r="R876" s="10">
        <f t="shared" si="92"/>
        <v>0</v>
      </c>
      <c r="S876" s="10">
        <f>VLOOKUP(D876,A!A$1:AK$767,32,FALSE)</f>
        <v>30</v>
      </c>
      <c r="T876" s="10">
        <v>4.1000000000000002E-2</v>
      </c>
      <c r="U876" s="10">
        <f t="shared" si="93"/>
        <v>0</v>
      </c>
      <c r="X876" s="10"/>
    </row>
    <row r="877" spans="1:24" ht="11.25" hidden="1" customHeight="1" x14ac:dyDescent="0.25">
      <c r="A877" s="1" t="str">
        <f>IF(R877=0,"",COUNTIF(A$23:A876,"&gt;0")+1)</f>
        <v/>
      </c>
      <c r="B877" s="312"/>
      <c r="C877" s="63" t="s">
        <v>42</v>
      </c>
      <c r="D877" s="64" t="s">
        <v>1081</v>
      </c>
      <c r="E877" s="65"/>
      <c r="F877" s="65"/>
      <c r="G877" s="96" t="s">
        <v>1082</v>
      </c>
      <c r="H877" s="66"/>
      <c r="I877" s="67">
        <f>VLOOKUP(D877,A!A$1:O$767,15,FALSE)</f>
        <v>3</v>
      </c>
      <c r="J877" s="67"/>
      <c r="K877" s="68">
        <f>IF(VLOOKUP(D877,A!A$1:O$767,11,FALSE)="y",1,0)</f>
        <v>0</v>
      </c>
      <c r="L877" s="68">
        <f>IF(VLOOKUP(D877,A!A$1:O$767,12,FALSE)="y",1,0)</f>
        <v>0</v>
      </c>
      <c r="M877" s="149" t="str">
        <f>IF(VLOOKUP(D877,A!A$1:O$767,10,FALSE)="y","NEW","")</f>
        <v/>
      </c>
      <c r="N877" s="150">
        <f>VLOOKUP(D877,A!A$1:O$767,13,FALSE)</f>
        <v>0</v>
      </c>
      <c r="O877" s="313">
        <v>4</v>
      </c>
      <c r="P877" s="10">
        <f>VLOOKUP(D877,A!A$1:O$767,9,FALSE)</f>
        <v>0</v>
      </c>
      <c r="Q877" s="10" t="s">
        <v>1097</v>
      </c>
      <c r="R877" s="10">
        <f t="shared" si="92"/>
        <v>0</v>
      </c>
      <c r="S877" s="10">
        <f>VLOOKUP(D877,A!A$1:AK$767,32,FALSE)</f>
        <v>30</v>
      </c>
      <c r="T877" s="10">
        <v>4.1000000000000002E-2</v>
      </c>
      <c r="U877" s="10">
        <f>T877*B877</f>
        <v>0</v>
      </c>
      <c r="X877" s="10"/>
    </row>
    <row r="878" spans="1:24" ht="11.25" hidden="1" customHeight="1" x14ac:dyDescent="0.25">
      <c r="A878" s="1" t="str">
        <f>IF(R878=0,"",COUNTIF(A$23:A877,"&gt;0")+1)</f>
        <v/>
      </c>
      <c r="B878" s="312"/>
      <c r="C878" s="63" t="s">
        <v>42</v>
      </c>
      <c r="D878" s="64" t="s">
        <v>1083</v>
      </c>
      <c r="E878" s="65"/>
      <c r="F878" s="65"/>
      <c r="G878" s="96" t="s">
        <v>1084</v>
      </c>
      <c r="H878" s="66" t="s">
        <v>1085</v>
      </c>
      <c r="I878" s="67">
        <f>VLOOKUP(D878,A!A$1:O$767,15,FALSE)</f>
        <v>2</v>
      </c>
      <c r="J878" s="67"/>
      <c r="K878" s="68">
        <f>IF(VLOOKUP(D878,A!A$1:O$767,11,FALSE)="y",1,0)</f>
        <v>0</v>
      </c>
      <c r="L878" s="68">
        <f>IF(VLOOKUP(D878,A!A$1:O$767,12,FALSE)="y",1,0)</f>
        <v>0</v>
      </c>
      <c r="M878" s="706" t="s">
        <v>64</v>
      </c>
      <c r="N878" s="150">
        <f>VLOOKUP(D878,A!A$1:O$767,13,FALSE)</f>
        <v>0</v>
      </c>
      <c r="O878" s="313">
        <v>4</v>
      </c>
      <c r="P878" s="10">
        <f>VLOOKUP(D878,A!A$1:O$767,9,FALSE)</f>
        <v>0</v>
      </c>
      <c r="Q878" s="10" t="s">
        <v>1097</v>
      </c>
      <c r="R878" s="10">
        <f t="shared" si="92"/>
        <v>0</v>
      </c>
      <c r="S878" s="10">
        <f>VLOOKUP(D878,A!A$1:AK$767,32,FALSE)</f>
        <v>30</v>
      </c>
      <c r="T878" s="10">
        <v>4.1000000000000002E-2</v>
      </c>
      <c r="U878" s="10">
        <f>T878*B878</f>
        <v>0</v>
      </c>
      <c r="X878" s="10"/>
    </row>
    <row r="879" spans="1:24" ht="11.25" hidden="1" customHeight="1" x14ac:dyDescent="0.25">
      <c r="A879" s="1" t="str">
        <f>IF(R879=0,"",COUNTIF(A$23:A878,"&gt;0")+1)</f>
        <v/>
      </c>
      <c r="B879" s="312"/>
      <c r="C879" s="63" t="s">
        <v>42</v>
      </c>
      <c r="D879" s="64" t="s">
        <v>1086</v>
      </c>
      <c r="E879" s="65"/>
      <c r="F879" s="65"/>
      <c r="G879" s="96" t="s">
        <v>1087</v>
      </c>
      <c r="H879" s="66" t="s">
        <v>1088</v>
      </c>
      <c r="I879" s="67">
        <f>VLOOKUP(D879,A!A$1:O$767,15,FALSE)</f>
        <v>2</v>
      </c>
      <c r="J879" s="67"/>
      <c r="K879" s="68">
        <f>IF(VLOOKUP(D879,A!A$1:O$767,11,FALSE)="y",1,0)</f>
        <v>0</v>
      </c>
      <c r="L879" s="68">
        <f>IF(VLOOKUP(D879,A!A$1:O$767,12,FALSE)="y",1,0)</f>
        <v>0</v>
      </c>
      <c r="M879" s="706"/>
      <c r="N879" s="150">
        <f>VLOOKUP(D879,A!A$1:O$767,13,FALSE)</f>
        <v>0</v>
      </c>
      <c r="O879" s="313">
        <v>4</v>
      </c>
      <c r="P879" s="10">
        <f>VLOOKUP(D879,A!A$1:O$767,9,FALSE)</f>
        <v>0</v>
      </c>
      <c r="Q879" s="10" t="s">
        <v>1097</v>
      </c>
      <c r="R879" s="10">
        <f t="shared" si="92"/>
        <v>0</v>
      </c>
      <c r="S879" s="10">
        <f>VLOOKUP(D879,A!A$1:AK$767,32,FALSE)</f>
        <v>30</v>
      </c>
      <c r="T879" s="10">
        <v>4.1000000000000002E-2</v>
      </c>
      <c r="U879" s="10">
        <f t="shared" si="93"/>
        <v>0</v>
      </c>
      <c r="X879" s="10"/>
    </row>
    <row r="880" spans="1:24" ht="11.25" hidden="1" customHeight="1" x14ac:dyDescent="0.25">
      <c r="A880" s="1" t="str">
        <f>IF(R880=0,"",COUNTIF(A$23:A879,"&gt;0")+1)</f>
        <v/>
      </c>
      <c r="B880" s="312"/>
      <c r="C880" s="63" t="s">
        <v>42</v>
      </c>
      <c r="D880" s="64" t="s">
        <v>1089</v>
      </c>
      <c r="E880" s="65"/>
      <c r="F880" s="65"/>
      <c r="G880" s="96" t="s">
        <v>1090</v>
      </c>
      <c r="H880" s="66" t="s">
        <v>1091</v>
      </c>
      <c r="I880" s="67">
        <f>VLOOKUP(D880,A!A$1:O$767,15,FALSE)</f>
        <v>2</v>
      </c>
      <c r="J880" s="67"/>
      <c r="K880" s="68">
        <f>IF(VLOOKUP(D880,A!A$1:O$767,11,FALSE)="y",1,0)</f>
        <v>0</v>
      </c>
      <c r="L880" s="68">
        <f>IF(VLOOKUP(D880,A!A$1:O$767,12,FALSE)="y",1,0)</f>
        <v>0</v>
      </c>
      <c r="M880" s="92"/>
      <c r="N880" s="67"/>
      <c r="O880" s="313">
        <v>4</v>
      </c>
      <c r="P880" s="10">
        <f>VLOOKUP(D880,A!A$1:O$767,9,FALSE)</f>
        <v>0</v>
      </c>
      <c r="Q880" s="10" t="s">
        <v>1097</v>
      </c>
      <c r="R880" s="10">
        <f t="shared" si="92"/>
        <v>0</v>
      </c>
      <c r="S880" s="10">
        <f>VLOOKUP(D880,A!A$1:AK$767,32,FALSE)</f>
        <v>30</v>
      </c>
      <c r="T880" s="10">
        <v>4.1000000000000002E-2</v>
      </c>
      <c r="U880" s="10">
        <f t="shared" si="93"/>
        <v>0</v>
      </c>
      <c r="X880" s="10"/>
    </row>
    <row r="881" spans="1:24" ht="11.25" hidden="1" customHeight="1" x14ac:dyDescent="0.25">
      <c r="A881" s="1" t="str">
        <f>IF(R881=0,"",COUNTIF(A$23:A880,"&gt;0")+1)</f>
        <v/>
      </c>
      <c r="B881" s="314"/>
      <c r="C881" s="577" t="s">
        <v>42</v>
      </c>
      <c r="D881" s="527" t="s">
        <v>1294</v>
      </c>
      <c r="E881" s="217"/>
      <c r="F881" s="217"/>
      <c r="G881" s="578" t="s">
        <v>1324</v>
      </c>
      <c r="H881" s="579" t="s">
        <v>1298</v>
      </c>
      <c r="I881" s="219">
        <v>2</v>
      </c>
      <c r="J881" s="219"/>
      <c r="K881" s="68">
        <f>IF(VLOOKUP(D881,A!A$1:O$767,11,FALSE)="y",1,0)</f>
        <v>0</v>
      </c>
      <c r="L881" s="351"/>
      <c r="M881" s="605"/>
      <c r="N881" s="219"/>
      <c r="O881" s="581">
        <v>4</v>
      </c>
      <c r="P881" s="10">
        <f>VLOOKUP(D881,A!A$1:O$767,9,FALSE)</f>
        <v>0</v>
      </c>
      <c r="Q881" s="10" t="s">
        <v>1097</v>
      </c>
      <c r="R881" s="10">
        <f>B881</f>
        <v>0</v>
      </c>
      <c r="S881" s="10">
        <f>VLOOKUP(D881,A!A$1:AK$767,32,FALSE)</f>
        <v>30</v>
      </c>
      <c r="T881" s="10">
        <v>4.1000000000000002E-2</v>
      </c>
      <c r="U881" s="10">
        <f>T881*B881</f>
        <v>0</v>
      </c>
      <c r="X881" s="10"/>
    </row>
    <row r="882" spans="1:24" ht="11.25" hidden="1" customHeight="1" thickBot="1" x14ac:dyDescent="0.3">
      <c r="A882" s="1" t="str">
        <f>IF(R882=0,"",COUNTIF(A$23:A881,"&gt;0")+1)</f>
        <v/>
      </c>
      <c r="B882" s="354"/>
      <c r="C882" s="317" t="s">
        <v>42</v>
      </c>
      <c r="D882" s="318" t="s">
        <v>1092</v>
      </c>
      <c r="E882" s="319"/>
      <c r="F882" s="319"/>
      <c r="G882" s="408" t="s">
        <v>1093</v>
      </c>
      <c r="H882" s="322"/>
      <c r="I882" s="355">
        <f>VLOOKUP(D882,A!A$1:O$767,15,FALSE)</f>
        <v>3</v>
      </c>
      <c r="J882" s="355"/>
      <c r="K882" s="68">
        <f>IF(VLOOKUP(D882,A!A$1:O$767,11,FALSE)="y",1,0)</f>
        <v>0</v>
      </c>
      <c r="L882" s="356">
        <f>IF(VLOOKUP(D882,A!A$1:O$767,12,FALSE)="y",1,0)</f>
        <v>0</v>
      </c>
      <c r="M882" s="357" t="str">
        <f>IF(VLOOKUP(D882,A!A$1:O$767,10,FALSE)="y","NEW","")</f>
        <v/>
      </c>
      <c r="N882" s="355">
        <f>VLOOKUP(D882,A!A$1:O$767,13,FALSE)</f>
        <v>0</v>
      </c>
      <c r="O882" s="324">
        <v>4</v>
      </c>
      <c r="P882" s="10">
        <f>VLOOKUP(D882,A!A$1:O$767,9,FALSE)</f>
        <v>0</v>
      </c>
      <c r="Q882" s="10" t="s">
        <v>1097</v>
      </c>
      <c r="R882" s="10">
        <f t="shared" si="92"/>
        <v>0</v>
      </c>
      <c r="S882" s="10">
        <f>VLOOKUP(D882,A!A$1:AK$767,32,FALSE)</f>
        <v>30</v>
      </c>
      <c r="T882" s="10">
        <v>4.1000000000000002E-2</v>
      </c>
      <c r="U882" s="10">
        <f t="shared" si="93"/>
        <v>0</v>
      </c>
      <c r="X882" s="10"/>
    </row>
    <row r="883" spans="1:24" hidden="1" x14ac:dyDescent="0.25">
      <c r="A883" s="1" t="str">
        <f>IF(R883=0,"",COUNTIF(A$23:A882,"&gt;0")+1)</f>
        <v/>
      </c>
      <c r="B883" s="256">
        <f>SUM(B875:B882)</f>
        <v>0</v>
      </c>
      <c r="C883" s="358" t="s">
        <v>42</v>
      </c>
      <c r="D883" s="325" t="s">
        <v>1098</v>
      </c>
      <c r="E883" s="300"/>
      <c r="F883" s="300"/>
      <c r="G883" s="300"/>
      <c r="H883" s="300"/>
      <c r="I883" s="300"/>
      <c r="J883" s="300"/>
      <c r="K883" s="373"/>
      <c r="L883" s="300"/>
      <c r="M883" s="326"/>
      <c r="N883" s="300"/>
      <c r="O883" s="327"/>
      <c r="P883" s="75"/>
      <c r="Q883" s="10" t="s">
        <v>1097</v>
      </c>
      <c r="R883" s="10">
        <f t="shared" si="92"/>
        <v>0</v>
      </c>
      <c r="S883" s="10"/>
      <c r="T883" s="10"/>
      <c r="U883" s="10"/>
      <c r="X883" s="10"/>
    </row>
    <row r="884" spans="1:24" ht="13.5" hidden="1" customHeight="1" thickBot="1" x14ac:dyDescent="0.3">
      <c r="A884" s="1" t="str">
        <f>IF(R884=0,"",COUNTIF(A$23:A883,"&gt;0")+1)</f>
        <v/>
      </c>
      <c r="P884" s="10"/>
      <c r="Q884" s="10"/>
      <c r="R884" s="10"/>
      <c r="S884" s="10"/>
      <c r="T884" s="10"/>
      <c r="U884" s="10"/>
      <c r="X884" s="10"/>
    </row>
    <row r="885" spans="1:24" ht="9.75" hidden="1" customHeight="1" x14ac:dyDescent="0.25">
      <c r="A885" s="1" t="str">
        <f>IF(R885=0,"",COUNTIF(A$23:A884,"&gt;0")+1)</f>
        <v/>
      </c>
      <c r="B885" s="1310" t="s">
        <v>41</v>
      </c>
      <c r="C885" s="1310"/>
      <c r="D885" s="1296" t="s">
        <v>1379</v>
      </c>
      <c r="E885" s="1297"/>
      <c r="F885" s="1297"/>
      <c r="G885" s="1297"/>
      <c r="H885" s="1297"/>
      <c r="I885" s="1297"/>
      <c r="J885" s="1297"/>
      <c r="K885" s="410"/>
      <c r="L885" s="294"/>
      <c r="M885" s="411"/>
      <c r="N885" s="294"/>
      <c r="O885" s="412"/>
      <c r="P885" s="10"/>
      <c r="Q885" s="10"/>
      <c r="R885" s="10"/>
      <c r="S885" s="10"/>
      <c r="T885" s="10"/>
      <c r="U885" s="10"/>
      <c r="X885" s="10"/>
    </row>
    <row r="886" spans="1:24" ht="8.25" hidden="1" customHeight="1" thickBot="1" x14ac:dyDescent="0.3">
      <c r="A886" s="1" t="str">
        <f>IF(R886=0,"",COUNTIF(A$23:A885,"&gt;0")+1)</f>
        <v/>
      </c>
      <c r="B886" s="1311"/>
      <c r="C886" s="1311"/>
      <c r="D886" s="1298"/>
      <c r="E886" s="1299"/>
      <c r="F886" s="1299"/>
      <c r="G886" s="1299"/>
      <c r="H886" s="1299"/>
      <c r="I886" s="1299"/>
      <c r="J886" s="1299"/>
      <c r="K886" s="415"/>
      <c r="L886" s="414"/>
      <c r="M886" s="413"/>
      <c r="N886" s="414"/>
      <c r="O886" s="416"/>
      <c r="P886" s="75" t="s">
        <v>49</v>
      </c>
      <c r="Q886" s="10"/>
      <c r="R886" s="10"/>
      <c r="S886" s="10"/>
      <c r="T886" s="10"/>
      <c r="U886" s="10"/>
      <c r="X886" s="10"/>
    </row>
    <row r="887" spans="1:24" ht="12" hidden="1" customHeight="1" thickBot="1" x14ac:dyDescent="0.3">
      <c r="A887" s="1" t="str">
        <f>IF(R887=0,"",COUNTIF(A$23:A886,"&gt;0")+1)</f>
        <v/>
      </c>
      <c r="B887" s="730"/>
      <c r="C887" s="507"/>
      <c r="D887" s="734" t="s">
        <v>1382</v>
      </c>
      <c r="E887" s="731"/>
      <c r="F887" s="731"/>
      <c r="G887" s="731"/>
      <c r="H887" s="731"/>
      <c r="I887" s="731"/>
      <c r="J887" s="731"/>
      <c r="K887" s="732"/>
      <c r="L887" s="533"/>
      <c r="M887" s="537"/>
      <c r="N887" s="533"/>
      <c r="O887" s="733"/>
      <c r="P887" s="75"/>
      <c r="Q887" s="10"/>
      <c r="R887" s="10"/>
      <c r="S887" s="10"/>
      <c r="T887" s="10"/>
      <c r="U887" s="10"/>
      <c r="X887" s="10"/>
    </row>
    <row r="888" spans="1:24" ht="13.9" hidden="1" customHeight="1" x14ac:dyDescent="0.25">
      <c r="A888" s="1" t="str">
        <f>IF(R888=0,"",COUNTIF(A$23:A887,"&gt;0")+1)</f>
        <v/>
      </c>
      <c r="B888" s="417"/>
      <c r="C888" s="418" t="s">
        <v>528</v>
      </c>
      <c r="D888" s="419" t="s">
        <v>1099</v>
      </c>
      <c r="E888" s="420"/>
      <c r="F888" s="420"/>
      <c r="G888" s="421"/>
      <c r="H888" s="422" t="s">
        <v>1100</v>
      </c>
      <c r="I888" s="423"/>
      <c r="J888" s="423" t="s">
        <v>63</v>
      </c>
      <c r="K888" s="424"/>
      <c r="L888" s="425"/>
      <c r="M888" s="426"/>
      <c r="N888" s="423"/>
      <c r="O888" s="427"/>
      <c r="P888" s="10">
        <f>VLOOKUP(D888,A!A$1:G$767,2,FALSE)</f>
        <v>0</v>
      </c>
      <c r="Q888" s="10" t="s">
        <v>863</v>
      </c>
      <c r="R888" s="10">
        <f t="shared" ref="R888:R894" si="94">B888</f>
        <v>0</v>
      </c>
      <c r="S888" s="10"/>
      <c r="T888" s="10"/>
      <c r="U888" s="10"/>
      <c r="X888" s="10"/>
    </row>
    <row r="889" spans="1:24" ht="11.25" hidden="1" customHeight="1" x14ac:dyDescent="0.25">
      <c r="A889" s="1" t="str">
        <f>IF(R889=0,"",COUNTIF(A$23:A888,"&gt;0")+1)</f>
        <v/>
      </c>
      <c r="B889" s="428"/>
      <c r="C889" s="63" t="s">
        <v>528</v>
      </c>
      <c r="D889" s="64" t="s">
        <v>1101</v>
      </c>
      <c r="E889" s="65"/>
      <c r="F889" s="65"/>
      <c r="G889" s="186"/>
      <c r="H889" s="66" t="s">
        <v>1102</v>
      </c>
      <c r="I889" s="67"/>
      <c r="J889" s="67" t="s">
        <v>63</v>
      </c>
      <c r="K889" s="134"/>
      <c r="L889" s="68"/>
      <c r="M889" s="92"/>
      <c r="N889" s="67"/>
      <c r="O889" s="429"/>
      <c r="P889" s="10">
        <f>VLOOKUP(D889,A!A$1:G$767,2,FALSE)</f>
        <v>0</v>
      </c>
      <c r="Q889" s="10" t="s">
        <v>863</v>
      </c>
      <c r="R889" s="10">
        <f t="shared" si="94"/>
        <v>0</v>
      </c>
      <c r="S889" s="10"/>
      <c r="T889" s="10"/>
      <c r="U889" s="10"/>
      <c r="X889" s="10"/>
    </row>
    <row r="890" spans="1:24" ht="11.25" hidden="1" customHeight="1" x14ac:dyDescent="0.25">
      <c r="A890" s="1" t="str">
        <f>IF(R890=0,"",COUNTIF(A$23:A889,"&gt;0")+1)</f>
        <v/>
      </c>
      <c r="B890" s="428"/>
      <c r="C890" s="63" t="s">
        <v>528</v>
      </c>
      <c r="D890" s="64" t="s">
        <v>1103</v>
      </c>
      <c r="E890" s="65"/>
      <c r="F890" s="65"/>
      <c r="G890" s="186"/>
      <c r="H890" s="66" t="s">
        <v>1102</v>
      </c>
      <c r="I890" s="67"/>
      <c r="J890" s="67" t="s">
        <v>63</v>
      </c>
      <c r="K890" s="134"/>
      <c r="L890" s="68"/>
      <c r="M890" s="92"/>
      <c r="N890" s="67"/>
      <c r="O890" s="429"/>
      <c r="P890" s="10">
        <f>VLOOKUP(D890,A!A$1:G$767,2,FALSE)</f>
        <v>0</v>
      </c>
      <c r="Q890" s="10" t="s">
        <v>863</v>
      </c>
      <c r="R890" s="10">
        <f t="shared" si="94"/>
        <v>0</v>
      </c>
      <c r="S890" s="10"/>
      <c r="T890" s="10"/>
      <c r="U890" s="10"/>
      <c r="X890" s="10"/>
    </row>
    <row r="891" spans="1:24" ht="13.15" hidden="1" customHeight="1" thickBot="1" x14ac:dyDescent="0.3">
      <c r="A891" s="1" t="str">
        <f>IF(R891=0,"",COUNTIF(A$23:A890,"&gt;0")+1)</f>
        <v/>
      </c>
      <c r="B891" s="430"/>
      <c r="C891" s="431" t="s">
        <v>888</v>
      </c>
      <c r="D891" s="432" t="s">
        <v>1104</v>
      </c>
      <c r="E891" s="433"/>
      <c r="F891" s="433"/>
      <c r="G891" s="434"/>
      <c r="H891" s="435" t="s">
        <v>1105</v>
      </c>
      <c r="I891" s="436"/>
      <c r="J891" s="436" t="s">
        <v>63</v>
      </c>
      <c r="K891" s="437"/>
      <c r="L891" s="438"/>
      <c r="M891" s="439"/>
      <c r="N891" s="436"/>
      <c r="O891" s="561"/>
      <c r="P891" s="10">
        <f>VLOOKUP(D891,A!A$1:G$767,2,FALSE)</f>
        <v>0</v>
      </c>
      <c r="Q891" s="10" t="s">
        <v>863</v>
      </c>
      <c r="R891" s="10">
        <f t="shared" si="94"/>
        <v>0</v>
      </c>
      <c r="S891" s="10"/>
      <c r="T891" s="10"/>
      <c r="U891" s="10"/>
      <c r="X891" s="10"/>
    </row>
    <row r="892" spans="1:24" ht="11.25" hidden="1" customHeight="1" x14ac:dyDescent="0.25">
      <c r="A892" s="1" t="str">
        <f>IF(R892=0,"",COUNTIF(A$23:A891,"&gt;0")+1)</f>
        <v/>
      </c>
      <c r="B892" s="558"/>
      <c r="C892" s="164" t="s">
        <v>51</v>
      </c>
      <c r="D892" s="165" t="s">
        <v>1106</v>
      </c>
      <c r="E892" s="166"/>
      <c r="F892" s="166"/>
      <c r="G892" s="374"/>
      <c r="H892" s="168" t="s">
        <v>1107</v>
      </c>
      <c r="I892" s="150"/>
      <c r="J892" s="150"/>
      <c r="K892" s="559"/>
      <c r="L892" s="378"/>
      <c r="M892" s="149"/>
      <c r="N892" s="150"/>
      <c r="O892" s="560"/>
      <c r="P892" s="10">
        <f>VLOOKUP(D892,A!A$1:G$767,2,FALSE)</f>
        <v>0</v>
      </c>
      <c r="Q892" s="10" t="s">
        <v>863</v>
      </c>
      <c r="R892" s="10">
        <f t="shared" si="94"/>
        <v>0</v>
      </c>
      <c r="S892" s="10"/>
      <c r="T892" s="10"/>
      <c r="U892" s="10"/>
      <c r="X892" s="10"/>
    </row>
    <row r="893" spans="1:24" ht="11.25" hidden="1" customHeight="1" thickBot="1" x14ac:dyDescent="0.3">
      <c r="A893" s="1" t="str">
        <f>IF(R893=0,"",COUNTIF(A$23:A892,"&gt;0")+1)</f>
        <v/>
      </c>
      <c r="B893" s="430"/>
      <c r="C893" s="431" t="s">
        <v>51</v>
      </c>
      <c r="D893" s="432" t="s">
        <v>1108</v>
      </c>
      <c r="E893" s="433"/>
      <c r="F893" s="433"/>
      <c r="G893" s="434"/>
      <c r="H893" s="435" t="s">
        <v>1109</v>
      </c>
      <c r="I893" s="436"/>
      <c r="J893" s="436" t="s">
        <v>63</v>
      </c>
      <c r="K893" s="437"/>
      <c r="L893" s="438"/>
      <c r="M893" s="439"/>
      <c r="N893" s="436"/>
      <c r="O893" s="440"/>
      <c r="P893" s="10">
        <f>VLOOKUP(D893,A!A$1:G$767,2,FALSE)</f>
        <v>0</v>
      </c>
      <c r="Q893" s="10" t="s">
        <v>863</v>
      </c>
      <c r="R893" s="10">
        <f t="shared" si="94"/>
        <v>0</v>
      </c>
      <c r="S893" s="10"/>
      <c r="T893" s="10"/>
      <c r="U893" s="10"/>
      <c r="X893" s="10"/>
    </row>
    <row r="894" spans="1:24" ht="11.25" hidden="1" customHeight="1" x14ac:dyDescent="0.25">
      <c r="A894" s="1" t="str">
        <f>IF(R894=0,"",COUNTIF(A$23:A893,"&gt;0")+1)</f>
        <v/>
      </c>
      <c r="B894" s="58">
        <f>SUM(B888:B890)*50+SUM(B891:B893)*10</f>
        <v>0</v>
      </c>
      <c r="C894" s="582" t="s">
        <v>42</v>
      </c>
      <c r="D894" s="172" t="s">
        <v>1110</v>
      </c>
      <c r="O894" s="249"/>
      <c r="P894" s="75"/>
      <c r="Q894" s="10" t="s">
        <v>863</v>
      </c>
      <c r="R894" s="10">
        <f t="shared" si="94"/>
        <v>0</v>
      </c>
      <c r="S894" s="10"/>
      <c r="T894" s="10"/>
      <c r="U894" s="10"/>
      <c r="X894" s="10"/>
    </row>
    <row r="895" spans="1:24" ht="12" hidden="1" customHeight="1" x14ac:dyDescent="0.25">
      <c r="A895" s="1" t="str">
        <f>IF(R895=0,"",COUNTIF(A$23:A894,"&gt;0")+1)</f>
        <v/>
      </c>
      <c r="P895" s="10"/>
      <c r="Q895" s="10"/>
      <c r="R895" s="10"/>
      <c r="S895" s="10"/>
      <c r="T895" s="10"/>
      <c r="U895" s="10"/>
      <c r="X895" s="10"/>
    </row>
    <row r="896" spans="1:24" ht="17.25" customHeight="1" x14ac:dyDescent="0.25">
      <c r="A896" s="1" t="str">
        <f>IF(R896=0,"",COUNTIF(A$23:A895,"&gt;0")+1)</f>
        <v/>
      </c>
      <c r="B896" s="1308" t="s">
        <v>41</v>
      </c>
      <c r="C896" s="1308"/>
      <c r="D896" s="1315" t="s">
        <v>1504</v>
      </c>
      <c r="E896" s="1316"/>
      <c r="F896" s="1316"/>
      <c r="G896" s="1305" t="s">
        <v>1500</v>
      </c>
      <c r="H896" s="1305"/>
      <c r="I896" s="1305"/>
      <c r="J896" s="1305"/>
      <c r="K896" s="1305"/>
      <c r="L896" s="1305"/>
      <c r="M896" s="1305"/>
      <c r="N896" s="1305"/>
      <c r="O896" s="1306"/>
      <c r="P896" s="10"/>
      <c r="Q896" s="10"/>
      <c r="R896" s="10"/>
      <c r="S896" s="10"/>
      <c r="T896" s="10"/>
      <c r="U896" s="10"/>
      <c r="X896" s="10"/>
    </row>
    <row r="897" spans="1:24" ht="16.5" customHeight="1" x14ac:dyDescent="0.25">
      <c r="A897" s="1" t="str">
        <f>IF(R897=0,"",COUNTIF(A$23:A896,"&gt;0")+1)</f>
        <v/>
      </c>
      <c r="B897" s="1309" t="s">
        <v>1111</v>
      </c>
      <c r="C897" s="1309"/>
      <c r="D897" s="1317"/>
      <c r="E897" s="1318"/>
      <c r="F897" s="1318"/>
      <c r="G897" s="1319"/>
      <c r="J897" s="441"/>
      <c r="K897" s="215"/>
      <c r="L897" s="442" t="s">
        <v>1112</v>
      </c>
      <c r="M897" s="443"/>
      <c r="N897" s="215"/>
      <c r="O897" s="444"/>
      <c r="P897" s="10"/>
      <c r="Q897" s="10"/>
      <c r="R897" s="10"/>
      <c r="S897" s="10"/>
      <c r="T897" s="10"/>
      <c r="U897" s="10"/>
      <c r="X897" s="10"/>
    </row>
    <row r="898" spans="1:24" ht="11.25" customHeight="1" x14ac:dyDescent="0.25">
      <c r="A898" s="1" t="str">
        <f>IF(R898=0,"",COUNTIF(A$23:A897,"&gt;0")+1)</f>
        <v/>
      </c>
      <c r="B898" s="131"/>
      <c r="C898" s="63" t="s">
        <v>888</v>
      </c>
      <c r="D898" s="64" t="s">
        <v>1113</v>
      </c>
      <c r="E898" s="65"/>
      <c r="F898" s="65"/>
      <c r="G898" s="65"/>
      <c r="H898" s="445" t="s">
        <v>1326</v>
      </c>
      <c r="I898" s="446"/>
      <c r="J898" s="446"/>
      <c r="K898" s="446"/>
      <c r="L898" s="446"/>
      <c r="M898" s="808"/>
      <c r="N898" s="446"/>
      <c r="O898" s="448"/>
      <c r="P898" s="10" t="str">
        <f>VLOOKUP(D898,A!A$1:G$767,2,FALSE)</f>
        <v>Y</v>
      </c>
      <c r="Q898" s="10" t="str">
        <f t="shared" ref="Q898:Q910" si="95">I$910&amp;"Aquabaskets"</f>
        <v>Aquabaskets</v>
      </c>
      <c r="R898" s="10">
        <f t="shared" ref="R898:R910" si="96">B898</f>
        <v>0</v>
      </c>
      <c r="S898" s="10"/>
      <c r="T898" s="10"/>
      <c r="U898" s="10"/>
      <c r="X898" s="10"/>
    </row>
    <row r="899" spans="1:24" ht="11.25" customHeight="1" x14ac:dyDescent="0.25">
      <c r="A899" s="1" t="str">
        <f>IF(R899=0,"",COUNTIF(A$23:A898,"&gt;0")+1)</f>
        <v/>
      </c>
      <c r="B899" s="131"/>
      <c r="C899" s="63" t="s">
        <v>888</v>
      </c>
      <c r="D899" s="64" t="s">
        <v>1114</v>
      </c>
      <c r="E899" s="65"/>
      <c r="F899" s="65"/>
      <c r="G899" s="65"/>
      <c r="H899" s="445" t="s">
        <v>1327</v>
      </c>
      <c r="I899" s="446"/>
      <c r="J899" s="446"/>
      <c r="K899" s="446"/>
      <c r="L899" s="446"/>
      <c r="M899" s="447"/>
      <c r="N899" s="446"/>
      <c r="O899" s="448"/>
      <c r="P899" s="10" t="str">
        <f>VLOOKUP(D899,A!A$1:G$767,2,FALSE)</f>
        <v>y</v>
      </c>
      <c r="Q899" s="10" t="str">
        <f t="shared" si="95"/>
        <v>Aquabaskets</v>
      </c>
      <c r="R899" s="10">
        <f t="shared" si="96"/>
        <v>0</v>
      </c>
      <c r="S899" s="10">
        <f>VLOOKUP(D899,A!A$1:AK$767,31,FALSE)</f>
        <v>25</v>
      </c>
      <c r="T899" s="10">
        <v>4.1000000000000002E-2</v>
      </c>
      <c r="U899" s="10">
        <f>T899*B899</f>
        <v>0</v>
      </c>
      <c r="X899" s="10"/>
    </row>
    <row r="900" spans="1:24" ht="11.25" hidden="1" customHeight="1" x14ac:dyDescent="0.25">
      <c r="A900" s="1" t="str">
        <f>IF(R900=0,"",COUNTIF(A$23:A899,"&gt;0")+1)</f>
        <v/>
      </c>
      <c r="B900" s="131"/>
      <c r="C900" s="63" t="s">
        <v>888</v>
      </c>
      <c r="D900" s="64" t="s">
        <v>1115</v>
      </c>
      <c r="E900" s="65"/>
      <c r="F900" s="65"/>
      <c r="G900" s="65"/>
      <c r="H900" s="445" t="s">
        <v>1116</v>
      </c>
      <c r="I900" s="446"/>
      <c r="J900" s="446"/>
      <c r="K900" s="446"/>
      <c r="L900" s="446"/>
      <c r="M900" s="447"/>
      <c r="N900" s="446"/>
      <c r="O900" s="448"/>
      <c r="P900" s="10">
        <f>VLOOKUP(D900,A!A$1:G$767,2,FALSE)</f>
        <v>0</v>
      </c>
      <c r="Q900" s="10" t="str">
        <f t="shared" si="95"/>
        <v>Aquabaskets</v>
      </c>
      <c r="R900" s="10">
        <f t="shared" si="96"/>
        <v>0</v>
      </c>
      <c r="S900" s="10"/>
      <c r="T900" s="10"/>
      <c r="U900" s="10">
        <f>T900*B900</f>
        <v>0</v>
      </c>
      <c r="X900" s="10"/>
    </row>
    <row r="901" spans="1:24" ht="11.25" customHeight="1" x14ac:dyDescent="0.25">
      <c r="A901" s="1" t="str">
        <f>IF(R901=0,"",COUNTIF(A$23:A900,"&gt;0")+1)</f>
        <v/>
      </c>
      <c r="B901" s="131"/>
      <c r="C901" s="63" t="s">
        <v>888</v>
      </c>
      <c r="D901" s="64" t="s">
        <v>1117</v>
      </c>
      <c r="E901" s="65"/>
      <c r="F901" s="65"/>
      <c r="G901" s="65"/>
      <c r="H901" s="445" t="s">
        <v>1329</v>
      </c>
      <c r="I901" s="446"/>
      <c r="J901" s="446"/>
      <c r="K901" s="446"/>
      <c r="L901" s="446"/>
      <c r="M901" s="447"/>
      <c r="N901" s="446"/>
      <c r="O901" s="448"/>
      <c r="P901" s="10" t="str">
        <f>VLOOKUP(D901,A!A$1:G$767,2,FALSE)</f>
        <v>Y</v>
      </c>
      <c r="Q901" s="10" t="str">
        <f t="shared" si="95"/>
        <v>Aquabaskets</v>
      </c>
      <c r="R901" s="10">
        <f t="shared" si="96"/>
        <v>0</v>
      </c>
      <c r="S901" s="10">
        <f>VLOOKUP(D901,A!A$1:AK$767,31,FALSE)</f>
        <v>35</v>
      </c>
      <c r="T901" s="10">
        <v>8.3000000000000004E-2</v>
      </c>
      <c r="U901" s="10">
        <f>T901*B901</f>
        <v>0</v>
      </c>
      <c r="X901" s="10"/>
    </row>
    <row r="902" spans="1:24" ht="11.25" customHeight="1" x14ac:dyDescent="0.25">
      <c r="A902" s="1" t="str">
        <f>IF(R902=0,"",COUNTIF(A$23:A901,"&gt;0")+1)</f>
        <v/>
      </c>
      <c r="B902" s="131"/>
      <c r="C902" s="63" t="s">
        <v>888</v>
      </c>
      <c r="D902" s="64" t="s">
        <v>1118</v>
      </c>
      <c r="E902" s="65"/>
      <c r="F902" s="65"/>
      <c r="G902" s="65"/>
      <c r="H902" s="445" t="s">
        <v>1124</v>
      </c>
      <c r="I902" s="446"/>
      <c r="J902" s="446"/>
      <c r="K902" s="446"/>
      <c r="L902" s="446"/>
      <c r="M902" s="447"/>
      <c r="N902" s="446"/>
      <c r="O902" s="448"/>
      <c r="P902" s="10" t="str">
        <f>VLOOKUP(D902,A!A$1:G$767,2,FALSE)</f>
        <v>Y</v>
      </c>
      <c r="Q902" s="10" t="str">
        <f t="shared" si="95"/>
        <v>Aquabaskets</v>
      </c>
      <c r="R902" s="10">
        <f t="shared" si="96"/>
        <v>0</v>
      </c>
      <c r="S902" s="10">
        <f>VLOOKUP(D902,A!A$1:AK$767,31,FALSE)</f>
        <v>40</v>
      </c>
      <c r="T902" s="10">
        <v>0.1</v>
      </c>
      <c r="U902" s="10">
        <f>T902*B902</f>
        <v>0</v>
      </c>
      <c r="X902" s="10"/>
    </row>
    <row r="903" spans="1:24" ht="11.25" customHeight="1" x14ac:dyDescent="0.25">
      <c r="A903" s="1" t="str">
        <f>IF(R903=0,"",COUNTIF(A$23:A902,"&gt;0")+1)</f>
        <v/>
      </c>
      <c r="B903" s="131"/>
      <c r="C903" s="164" t="s">
        <v>51</v>
      </c>
      <c r="D903" s="64" t="s">
        <v>1119</v>
      </c>
      <c r="E903" s="65"/>
      <c r="F903" s="65"/>
      <c r="G903" s="65"/>
      <c r="H903" s="445" t="s">
        <v>1328</v>
      </c>
      <c r="I903" s="446"/>
      <c r="J903" s="446"/>
      <c r="K903" s="446"/>
      <c r="L903" s="446"/>
      <c r="M903" s="447"/>
      <c r="N903" s="446"/>
      <c r="O903" s="448"/>
      <c r="P903" s="10" t="str">
        <f>VLOOKUP(D903,A!A$1:G$767,2,FALSE)</f>
        <v>y</v>
      </c>
      <c r="Q903" s="10" t="str">
        <f t="shared" si="95"/>
        <v>Aquabaskets</v>
      </c>
      <c r="R903" s="10">
        <f t="shared" si="96"/>
        <v>0</v>
      </c>
      <c r="S903" s="10">
        <f>VLOOKUP(D903,A!A$1:AK$767,31,FALSE)</f>
        <v>35</v>
      </c>
      <c r="T903" s="10">
        <v>0.4</v>
      </c>
      <c r="U903" s="10">
        <f>T903*B903</f>
        <v>0</v>
      </c>
      <c r="X903" s="10"/>
    </row>
    <row r="904" spans="1:24" ht="11.25" customHeight="1" x14ac:dyDescent="0.25">
      <c r="A904" s="1" t="str">
        <f>IF(R904=0,"",COUNTIF(A$23:A903,"&gt;0")+1)</f>
        <v/>
      </c>
      <c r="B904" s="131"/>
      <c r="C904" s="63" t="s">
        <v>888</v>
      </c>
      <c r="D904" s="678" t="s">
        <v>1365</v>
      </c>
      <c r="E904" s="65"/>
      <c r="F904" s="65"/>
      <c r="G904" s="679"/>
      <c r="H904" s="445" t="s">
        <v>1330</v>
      </c>
      <c r="I904" s="446"/>
      <c r="J904" s="446"/>
      <c r="K904" s="446"/>
      <c r="L904" s="446"/>
      <c r="M904" s="447"/>
      <c r="N904" s="446"/>
      <c r="O904" s="448"/>
      <c r="P904" s="10" t="str">
        <f>VLOOKUP(D904,A!A$1:G$767,2,FALSE)</f>
        <v>y</v>
      </c>
      <c r="Q904" s="10" t="str">
        <f t="shared" si="95"/>
        <v>Aquabaskets</v>
      </c>
      <c r="R904" s="10">
        <f t="shared" si="96"/>
        <v>0</v>
      </c>
      <c r="S904" s="10"/>
      <c r="T904" s="10"/>
      <c r="U904" s="10"/>
      <c r="X904" s="10"/>
    </row>
    <row r="905" spans="1:24" ht="11.25" customHeight="1" x14ac:dyDescent="0.25">
      <c r="A905" s="1" t="str">
        <f>IF(R905=0,"",COUNTIF(A$23:A904,"&gt;0")+1)</f>
        <v/>
      </c>
      <c r="B905" s="131"/>
      <c r="C905" s="63" t="s">
        <v>888</v>
      </c>
      <c r="D905" s="64" t="s">
        <v>1120</v>
      </c>
      <c r="E905" s="65"/>
      <c r="F905" s="65"/>
      <c r="G905" s="65"/>
      <c r="H905" s="445" t="s">
        <v>1331</v>
      </c>
      <c r="I905" s="446"/>
      <c r="J905" s="446"/>
      <c r="K905" s="446"/>
      <c r="L905" s="446"/>
      <c r="M905" s="808"/>
      <c r="N905" s="446"/>
      <c r="O905" s="448"/>
      <c r="P905" s="10" t="str">
        <f>VLOOKUP(D905,A!A$1:G$767,2,FALSE)</f>
        <v>Y</v>
      </c>
      <c r="Q905" s="10" t="str">
        <f t="shared" si="95"/>
        <v>Aquabaskets</v>
      </c>
      <c r="R905" s="10">
        <f t="shared" si="96"/>
        <v>0</v>
      </c>
      <c r="S905" s="10">
        <f>VLOOKUP(D905,A!A$1:AK$767,31,FALSE)</f>
        <v>0</v>
      </c>
      <c r="T905" s="10">
        <v>0.1</v>
      </c>
      <c r="U905" s="10">
        <f>T905*B905</f>
        <v>0</v>
      </c>
      <c r="X905" s="10"/>
    </row>
    <row r="906" spans="1:24" ht="11.25" customHeight="1" x14ac:dyDescent="0.25">
      <c r="A906" s="1" t="str">
        <f>IF(R906=0,"",COUNTIF(A$23:A905,"&gt;0")+1)</f>
        <v/>
      </c>
      <c r="B906" s="216"/>
      <c r="C906" s="63" t="s">
        <v>888</v>
      </c>
      <c r="D906" s="64" t="s">
        <v>1121</v>
      </c>
      <c r="E906" s="65"/>
      <c r="F906" s="65"/>
      <c r="G906" s="65"/>
      <c r="H906" s="445" t="s">
        <v>1332</v>
      </c>
      <c r="I906" s="446"/>
      <c r="J906" s="446"/>
      <c r="K906" s="446"/>
      <c r="L906" s="446"/>
      <c r="M906" s="447"/>
      <c r="N906" s="213"/>
      <c r="O906" s="448"/>
      <c r="P906" s="10" t="str">
        <f>VLOOKUP(D906,A!A$1:G$767,2,FALSE)</f>
        <v>y</v>
      </c>
      <c r="Q906" s="10" t="str">
        <f t="shared" si="95"/>
        <v>Aquabaskets</v>
      </c>
      <c r="R906" s="10">
        <f t="shared" si="96"/>
        <v>0</v>
      </c>
      <c r="S906" s="10">
        <f>VLOOKUP(D906,A!A$1:AK$767,31,FALSE)</f>
        <v>0</v>
      </c>
      <c r="T906" s="10">
        <v>0.1</v>
      </c>
      <c r="U906" s="10">
        <f>T906*B906</f>
        <v>0</v>
      </c>
      <c r="X906" s="10"/>
    </row>
    <row r="907" spans="1:24" ht="11.25" customHeight="1" x14ac:dyDescent="0.25">
      <c r="A907" s="1" t="str">
        <f>IF(R907=0,"",COUNTIF(A$23:A906,"&gt;0")+1)</f>
        <v/>
      </c>
      <c r="B907" s="131"/>
      <c r="C907" s="164" t="s">
        <v>51</v>
      </c>
      <c r="D907" s="165" t="s">
        <v>1122</v>
      </c>
      <c r="E907" s="166"/>
      <c r="F907" s="166"/>
      <c r="G907" s="166"/>
      <c r="H907" s="449" t="s">
        <v>1333</v>
      </c>
      <c r="I907" s="265"/>
      <c r="J907" s="265"/>
      <c r="K907" s="265"/>
      <c r="L907" s="265"/>
      <c r="M907" s="450"/>
      <c r="N907" s="446"/>
      <c r="O907" s="448"/>
      <c r="P907" s="10" t="str">
        <f>VLOOKUP(D907,A!A$1:G$767,2,FALSE)</f>
        <v>Y</v>
      </c>
      <c r="Q907" s="10" t="str">
        <f t="shared" si="95"/>
        <v>Aquabaskets</v>
      </c>
      <c r="R907" s="10">
        <f t="shared" si="96"/>
        <v>0</v>
      </c>
      <c r="S907" s="10">
        <f>VLOOKUP(D907,A!A$1:AK$767,31,FALSE)</f>
        <v>45</v>
      </c>
      <c r="T907" s="10">
        <v>0.4</v>
      </c>
      <c r="U907" s="10">
        <f>T907*B907</f>
        <v>0</v>
      </c>
      <c r="X907" s="10"/>
    </row>
    <row r="908" spans="1:24" ht="11.25" customHeight="1" x14ac:dyDescent="0.25">
      <c r="A908" s="1" t="str">
        <f>IF(R908=0,"",COUNTIF(A$23:A907,"&gt;0")+1)</f>
        <v/>
      </c>
      <c r="B908" s="131"/>
      <c r="C908" s="63" t="s">
        <v>888</v>
      </c>
      <c r="D908" s="64" t="s">
        <v>1123</v>
      </c>
      <c r="E908" s="65"/>
      <c r="F908" s="65"/>
      <c r="G908" s="65"/>
      <c r="H908" s="451" t="s">
        <v>1334</v>
      </c>
      <c r="I908" s="446"/>
      <c r="J908" s="446"/>
      <c r="K908" s="446"/>
      <c r="L908" s="446"/>
      <c r="M908" s="808"/>
      <c r="N908" s="446"/>
      <c r="O908" s="448"/>
      <c r="P908" s="10" t="str">
        <f>VLOOKUP(D908,A!A$1:G$767,2,FALSE)</f>
        <v>y</v>
      </c>
      <c r="Q908" s="10" t="str">
        <f t="shared" si="95"/>
        <v>Aquabaskets</v>
      </c>
      <c r="R908" s="10">
        <f t="shared" si="96"/>
        <v>0</v>
      </c>
      <c r="S908" s="10">
        <f>VLOOKUP(D908,A!A$1:AK$767,31,FALSE)</f>
        <v>50</v>
      </c>
      <c r="T908" s="10">
        <v>0.125</v>
      </c>
      <c r="U908" s="10">
        <f>T908*B908</f>
        <v>0</v>
      </c>
      <c r="X908" s="10"/>
    </row>
    <row r="909" spans="1:24" ht="11.25" customHeight="1" x14ac:dyDescent="0.25">
      <c r="A909" s="1" t="str">
        <f>IF(R909=0,"",COUNTIF(A$23:A908,"&gt;0")+1)</f>
        <v/>
      </c>
      <c r="B909" s="131"/>
      <c r="C909" s="456" t="s">
        <v>888</v>
      </c>
      <c r="D909" s="64" t="s">
        <v>1352</v>
      </c>
      <c r="E909" s="217"/>
      <c r="F909" s="217"/>
      <c r="G909" s="663"/>
      <c r="H909" s="451" t="s">
        <v>1353</v>
      </c>
      <c r="I909" s="213"/>
      <c r="J909" s="213"/>
      <c r="K909" s="213"/>
      <c r="L909" s="213"/>
      <c r="M909" s="214"/>
      <c r="N909" s="213"/>
      <c r="O909" s="448"/>
      <c r="P909" s="10" t="str">
        <f>VLOOKUP(D909,A!A$1:G$767,2,FALSE)</f>
        <v>y</v>
      </c>
      <c r="Q909" s="10" t="str">
        <f>I$910&amp;"Aquabaskets"</f>
        <v>Aquabaskets</v>
      </c>
      <c r="R909" s="10">
        <f>B909</f>
        <v>0</v>
      </c>
      <c r="S909" s="10">
        <f>VLOOKUP(D909,A!A$1:AK$767,31,FALSE)</f>
        <v>25</v>
      </c>
      <c r="T909" s="10">
        <v>4.1000000000000002E-2</v>
      </c>
      <c r="U909" s="10">
        <f>T909*B909</f>
        <v>0</v>
      </c>
      <c r="X909" s="10"/>
    </row>
    <row r="910" spans="1:24" x14ac:dyDescent="0.25">
      <c r="A910" s="1" t="str">
        <f>IF(R910=0,"",COUNTIF(A$23:A909,"&gt;0")+1)</f>
        <v/>
      </c>
      <c r="B910" s="219">
        <f>SUM(B898:B909)*25-(B903+B907)*15</f>
        <v>0</v>
      </c>
      <c r="C910" s="452" t="s">
        <v>42</v>
      </c>
      <c r="D910" s="220" t="str">
        <f>"Total Aquatic "&amp;I910&amp;"Baskets (Individual)"</f>
        <v>Total Aquatic Baskets (Individual)</v>
      </c>
      <c r="E910" s="213"/>
      <c r="F910" s="213"/>
      <c r="G910" s="213"/>
      <c r="H910" s="213"/>
      <c r="I910" s="453" t="str">
        <f>IF(M897&lt;&gt;"","Barcoded ","")</f>
        <v/>
      </c>
      <c r="J910" s="213"/>
      <c r="K910" s="213"/>
      <c r="L910" s="213"/>
      <c r="M910" s="214"/>
      <c r="N910" s="213"/>
      <c r="O910" s="221"/>
      <c r="P910" s="10"/>
      <c r="Q910" s="10" t="str">
        <f t="shared" si="95"/>
        <v>Aquabaskets</v>
      </c>
      <c r="R910" s="10">
        <f t="shared" si="96"/>
        <v>0</v>
      </c>
      <c r="S910" s="10"/>
      <c r="T910" s="10"/>
      <c r="U910" s="10"/>
      <c r="X910" s="10"/>
    </row>
    <row r="911" spans="1:24" ht="7.5" customHeight="1" x14ac:dyDescent="0.25">
      <c r="A911" s="1" t="str">
        <f>IF(R911=0,"",COUNTIF(A$23:A910,"&gt;0")+1)</f>
        <v/>
      </c>
      <c r="P911" s="10"/>
      <c r="Q911" s="10"/>
      <c r="R911" s="10"/>
      <c r="S911" s="10"/>
      <c r="T911" s="10"/>
      <c r="U911" s="10"/>
      <c r="X911" s="10"/>
    </row>
    <row r="912" spans="1:24" ht="12.75" customHeight="1" x14ac:dyDescent="0.25">
      <c r="A912" s="1" t="str">
        <f>IF(R912=0,"",COUNTIF(A$23:A911,"&gt;0")+1)</f>
        <v/>
      </c>
      <c r="B912" s="1308" t="s">
        <v>41</v>
      </c>
      <c r="C912" s="1308"/>
      <c r="D912" s="1281" t="s">
        <v>1125</v>
      </c>
      <c r="E912" s="1281"/>
      <c r="F912" s="1281"/>
      <c r="G912" s="1281"/>
      <c r="H912" s="1281"/>
      <c r="I912" s="1281"/>
      <c r="J912" s="1281"/>
      <c r="K912" s="1281"/>
      <c r="L912" s="1281"/>
      <c r="M912" s="1281"/>
      <c r="N912" s="1281"/>
      <c r="O912" s="1281"/>
      <c r="P912" s="10"/>
      <c r="Q912" s="10"/>
      <c r="R912" s="10"/>
      <c r="S912" s="10"/>
      <c r="T912" s="10"/>
      <c r="U912" s="10"/>
      <c r="X912" s="10"/>
    </row>
    <row r="913" spans="1:24" ht="10.5" customHeight="1" x14ac:dyDescent="0.25">
      <c r="A913" s="1" t="str">
        <f>IF(R913=0,"",COUNTIF(A$23:A912,"&gt;0")+1)</f>
        <v/>
      </c>
      <c r="B913" s="1309" t="s">
        <v>1126</v>
      </c>
      <c r="C913" s="1309"/>
      <c r="D913" s="1281"/>
      <c r="E913" s="1281"/>
      <c r="F913" s="1281"/>
      <c r="G913" s="1281"/>
      <c r="H913" s="1281"/>
      <c r="I913" s="1281"/>
      <c r="J913" s="1281"/>
      <c r="K913" s="1281"/>
      <c r="L913" s="1281"/>
      <c r="M913" s="1281"/>
      <c r="N913" s="1281"/>
      <c r="O913" s="1281"/>
      <c r="P913" s="10"/>
      <c r="Q913" s="10"/>
      <c r="R913" s="10"/>
      <c r="S913" s="10"/>
      <c r="T913" s="10"/>
      <c r="U913" s="10"/>
      <c r="X913" s="10"/>
    </row>
    <row r="914" spans="1:24" ht="11.25" customHeight="1" x14ac:dyDescent="0.25">
      <c r="A914" s="1" t="str">
        <f>IF(R914=0,"",COUNTIF(A$23:A913,"&gt;0")+1)</f>
        <v/>
      </c>
      <c r="B914" s="131"/>
      <c r="C914" s="63" t="s">
        <v>42</v>
      </c>
      <c r="D914" s="64" t="s">
        <v>1127</v>
      </c>
      <c r="E914" s="446"/>
      <c r="F914" s="446"/>
      <c r="G914" s="446"/>
      <c r="H914" s="446"/>
      <c r="I914" s="446"/>
      <c r="J914" s="446"/>
      <c r="K914" s="446"/>
      <c r="L914" s="571" t="s">
        <v>1128</v>
      </c>
      <c r="M914" s="1271">
        <v>25.2</v>
      </c>
      <c r="N914" s="1271"/>
      <c r="O914" s="1271"/>
      <c r="P914" s="10" t="str">
        <f>VLOOKUP(D914,A!A$1:G$767,2,FALSE)</f>
        <v>y</v>
      </c>
      <c r="Q914" s="10" t="s">
        <v>1125</v>
      </c>
      <c r="R914" s="10">
        <f t="shared" ref="R914:R923" si="97">B914</f>
        <v>0</v>
      </c>
      <c r="S914" s="10"/>
      <c r="T914" s="10"/>
      <c r="U914" s="10"/>
      <c r="X914" s="10"/>
    </row>
    <row r="915" spans="1:24" ht="11.25" customHeight="1" x14ac:dyDescent="0.25">
      <c r="A915" s="1" t="str">
        <f>IF(R915=0,"",COUNTIF(A$23:A914,"&gt;0")+1)</f>
        <v/>
      </c>
      <c r="B915" s="131"/>
      <c r="C915" s="63" t="s">
        <v>42</v>
      </c>
      <c r="D915" s="64" t="s">
        <v>1129</v>
      </c>
      <c r="E915" s="446"/>
      <c r="F915" s="446"/>
      <c r="G915" s="446"/>
      <c r="H915" s="446"/>
      <c r="I915" s="446"/>
      <c r="J915" s="446"/>
      <c r="K915" s="446"/>
      <c r="L915" s="571" t="s">
        <v>1130</v>
      </c>
      <c r="M915" s="1271">
        <v>25.2</v>
      </c>
      <c r="N915" s="1271"/>
      <c r="O915" s="1271"/>
      <c r="P915" s="10" t="str">
        <f>VLOOKUP(D915,A!A$1:G$767,2,FALSE)</f>
        <v>y</v>
      </c>
      <c r="Q915" s="10" t="s">
        <v>1125</v>
      </c>
      <c r="R915" s="10">
        <f t="shared" si="97"/>
        <v>0</v>
      </c>
      <c r="S915" s="10"/>
      <c r="T915" s="10"/>
      <c r="U915" s="10"/>
      <c r="X915" s="10"/>
    </row>
    <row r="916" spans="1:24" ht="11.25" customHeight="1" x14ac:dyDescent="0.25">
      <c r="A916" s="1" t="str">
        <f>IF(R916=0,"",COUNTIF(A$23:A915,"&gt;0")+1)</f>
        <v/>
      </c>
      <c r="B916" s="131"/>
      <c r="C916" s="63" t="s">
        <v>42</v>
      </c>
      <c r="D916" s="64" t="s">
        <v>1131</v>
      </c>
      <c r="E916" s="446"/>
      <c r="F916" s="446"/>
      <c r="G916" s="446"/>
      <c r="H916" s="446"/>
      <c r="I916" s="446"/>
      <c r="J916" s="446"/>
      <c r="K916" s="446"/>
      <c r="L916" s="571" t="s">
        <v>1132</v>
      </c>
      <c r="M916" s="1271">
        <v>8.4</v>
      </c>
      <c r="N916" s="1271"/>
      <c r="O916" s="1271"/>
      <c r="P916" s="10" t="str">
        <f>VLOOKUP(D916,A!A$1:G$767,2,FALSE)</f>
        <v>y</v>
      </c>
      <c r="Q916" s="10" t="s">
        <v>1125</v>
      </c>
      <c r="R916" s="10">
        <f t="shared" si="97"/>
        <v>0</v>
      </c>
      <c r="S916" s="10"/>
      <c r="T916" s="10"/>
      <c r="U916" s="10"/>
      <c r="X916" s="10"/>
    </row>
    <row r="917" spans="1:24" ht="11.25" customHeight="1" x14ac:dyDescent="0.25">
      <c r="A917" s="1" t="str">
        <f>IF(R917=0,"",COUNTIF(A$23:A916,"&gt;0")+1)</f>
        <v/>
      </c>
      <c r="B917" s="131"/>
      <c r="C917" s="63" t="s">
        <v>42</v>
      </c>
      <c r="D917" s="64" t="s">
        <v>1133</v>
      </c>
      <c r="E917" s="446"/>
      <c r="F917" s="446"/>
      <c r="G917" s="446"/>
      <c r="H917" s="446"/>
      <c r="I917" s="446"/>
      <c r="J917" s="446"/>
      <c r="K917" s="446"/>
      <c r="L917" s="571" t="s">
        <v>1134</v>
      </c>
      <c r="M917" s="1271">
        <v>0.31</v>
      </c>
      <c r="N917" s="1271"/>
      <c r="O917" s="1271"/>
      <c r="P917" s="10" t="str">
        <f>VLOOKUP(D917,A!A$1:G$767,2,FALSE)</f>
        <v>y</v>
      </c>
      <c r="Q917" s="10" t="s">
        <v>1125</v>
      </c>
      <c r="R917" s="10">
        <f t="shared" si="97"/>
        <v>0</v>
      </c>
      <c r="S917" s="10"/>
      <c r="T917" s="10"/>
      <c r="U917" s="10"/>
      <c r="X917" s="10"/>
    </row>
    <row r="918" spans="1:24" ht="11.25" hidden="1" customHeight="1" x14ac:dyDescent="0.25">
      <c r="A918" s="1" t="str">
        <f>IF(R918=0,"",COUNTIF(A$23:A917,"&gt;0")+1)</f>
        <v/>
      </c>
      <c r="B918" s="131"/>
      <c r="C918" s="63" t="s">
        <v>1135</v>
      </c>
      <c r="D918" s="64" t="s">
        <v>1136</v>
      </c>
      <c r="E918" s="446"/>
      <c r="F918" s="446"/>
      <c r="G918" s="446"/>
      <c r="H918" s="454"/>
      <c r="I918" s="446"/>
      <c r="J918" s="446"/>
      <c r="K918" s="446"/>
      <c r="L918" s="571" t="s">
        <v>1137</v>
      </c>
      <c r="M918" s="1271">
        <v>25</v>
      </c>
      <c r="N918" s="1271"/>
      <c r="O918" s="1271"/>
      <c r="P918" s="10" t="str">
        <f>VLOOKUP(D918,A!A$1:G$767,2,FALSE)</f>
        <v>y</v>
      </c>
      <c r="Q918" s="10" t="s">
        <v>1125</v>
      </c>
      <c r="R918" s="10">
        <f t="shared" si="97"/>
        <v>0</v>
      </c>
      <c r="S918" s="10"/>
      <c r="T918" s="10"/>
      <c r="U918" s="10"/>
      <c r="X918" s="10"/>
    </row>
    <row r="919" spans="1:24" ht="11.25" customHeight="1" x14ac:dyDescent="0.25">
      <c r="A919" s="1" t="str">
        <f>IF(R919=0,"",COUNTIF(A$23:A918,"&gt;0")+1)</f>
        <v/>
      </c>
      <c r="B919" s="131"/>
      <c r="C919" s="63" t="s">
        <v>1135</v>
      </c>
      <c r="D919" s="64" t="s">
        <v>1136</v>
      </c>
      <c r="E919" s="446"/>
      <c r="F919" s="446"/>
      <c r="G919" s="446"/>
      <c r="H919" s="445"/>
      <c r="I919" s="446"/>
      <c r="J919" s="455"/>
      <c r="K919" s="184"/>
      <c r="L919" s="572" t="s">
        <v>1138</v>
      </c>
      <c r="M919" s="1271">
        <v>28.87</v>
      </c>
      <c r="N919" s="1271"/>
      <c r="O919" s="1271"/>
      <c r="P919" s="10" t="str">
        <f>VLOOKUP(D919,A!A$1:G$767,2,FALSE)</f>
        <v>y</v>
      </c>
      <c r="Q919" s="10" t="s">
        <v>1125</v>
      </c>
      <c r="R919" s="10">
        <f t="shared" si="97"/>
        <v>0</v>
      </c>
      <c r="S919" s="10"/>
      <c r="T919" s="10"/>
      <c r="U919" s="10"/>
      <c r="X919" s="10"/>
    </row>
    <row r="920" spans="1:24" ht="11.25" customHeight="1" x14ac:dyDescent="0.25">
      <c r="A920" s="1" t="str">
        <f>IF(R920=0,"",COUNTIF(A$23:A919,"&gt;0")+1)</f>
        <v/>
      </c>
      <c r="B920" s="648"/>
      <c r="C920" s="264" t="s">
        <v>1341</v>
      </c>
      <c r="D920" s="64" t="s">
        <v>1340</v>
      </c>
      <c r="E920" s="446"/>
      <c r="F920" s="446"/>
      <c r="G920" s="446"/>
      <c r="H920" s="445"/>
      <c r="I920" s="446"/>
      <c r="J920" s="455"/>
      <c r="K920" s="184"/>
      <c r="L920" s="572"/>
      <c r="M920" s="1271">
        <v>200</v>
      </c>
      <c r="N920" s="1271"/>
      <c r="O920" s="1271"/>
      <c r="P920" s="10" t="s">
        <v>66</v>
      </c>
      <c r="Q920" s="10" t="s">
        <v>1125</v>
      </c>
      <c r="R920" s="10">
        <f t="shared" si="97"/>
        <v>0</v>
      </c>
      <c r="S920" s="10"/>
      <c r="T920" s="10"/>
      <c r="U920" s="10"/>
      <c r="X920" s="10"/>
    </row>
    <row r="921" spans="1:24" ht="11.25" hidden="1" customHeight="1" x14ac:dyDescent="0.25">
      <c r="A921" s="1" t="str">
        <f>IF(R921=0,"",COUNTIF(A$23:A920,"&gt;0")+1)</f>
        <v/>
      </c>
      <c r="B921" s="131"/>
      <c r="C921" s="63" t="s">
        <v>42</v>
      </c>
      <c r="D921" s="64" t="s">
        <v>1139</v>
      </c>
      <c r="E921" s="446"/>
      <c r="F921" s="446"/>
      <c r="G921" s="711" t="s">
        <v>1372</v>
      </c>
      <c r="H921" s="1272" t="s">
        <v>1370</v>
      </c>
      <c r="I921" s="1273"/>
      <c r="J921" s="1273"/>
      <c r="K921" s="1273"/>
      <c r="L921" s="1274"/>
      <c r="M921" s="1271">
        <v>302</v>
      </c>
      <c r="N921" s="1271"/>
      <c r="O921" s="1271"/>
      <c r="P921" s="10">
        <f>VLOOKUP(D921,A!A$1:G$767,2,FALSE)</f>
        <v>0</v>
      </c>
      <c r="Q921" s="10" t="s">
        <v>1125</v>
      </c>
      <c r="R921" s="10">
        <f t="shared" si="97"/>
        <v>0</v>
      </c>
      <c r="S921" s="10"/>
      <c r="T921" s="10"/>
      <c r="U921" s="10"/>
      <c r="X921" s="10"/>
    </row>
    <row r="922" spans="1:24" ht="11.25" hidden="1" customHeight="1" x14ac:dyDescent="0.25">
      <c r="A922" s="1" t="str">
        <f>IF(R922=0,"",COUNTIF(A$23:A921,"&gt;0")+1)</f>
        <v/>
      </c>
      <c r="B922" s="131"/>
      <c r="C922" s="63" t="s">
        <v>42</v>
      </c>
      <c r="D922" s="64" t="s">
        <v>1140</v>
      </c>
      <c r="E922" s="446"/>
      <c r="F922" s="446"/>
      <c r="G922" s="711" t="s">
        <v>1372</v>
      </c>
      <c r="H922" s="1275"/>
      <c r="I922" s="1276"/>
      <c r="J922" s="1276"/>
      <c r="K922" s="1276"/>
      <c r="L922" s="1277"/>
      <c r="M922" s="1271">
        <v>260</v>
      </c>
      <c r="N922" s="1271"/>
      <c r="O922" s="1271"/>
      <c r="P922" s="10">
        <f>VLOOKUP(D922,A!A$1:G$767,2,FALSE)</f>
        <v>0</v>
      </c>
      <c r="Q922" s="10" t="s">
        <v>1125</v>
      </c>
      <c r="R922" s="10">
        <f t="shared" si="97"/>
        <v>0</v>
      </c>
      <c r="S922" s="10"/>
      <c r="T922" s="10"/>
      <c r="U922" s="10"/>
      <c r="X922" s="10"/>
    </row>
    <row r="923" spans="1:24" ht="11.25" customHeight="1" x14ac:dyDescent="0.25">
      <c r="A923" s="1" t="str">
        <f>IF(R923=0,"",COUNTIF(A$23:A922,"&gt;0")+1)</f>
        <v/>
      </c>
      <c r="B923" s="131"/>
      <c r="C923" s="164" t="s">
        <v>42</v>
      </c>
      <c r="D923" s="1019" t="s">
        <v>1491</v>
      </c>
      <c r="E923" s="265"/>
      <c r="F923" s="265"/>
      <c r="G923" s="711"/>
      <c r="H923" s="1278"/>
      <c r="I923" s="1278"/>
      <c r="J923" s="1278"/>
      <c r="K923" s="1278"/>
      <c r="L923" s="1279"/>
      <c r="M923" s="1271">
        <v>202.25</v>
      </c>
      <c r="N923" s="1271"/>
      <c r="O923" s="1271"/>
      <c r="P923" s="10" t="e">
        <f>VLOOKUP(D923,A!A$1:G$767,2,FALSE)</f>
        <v>#N/A</v>
      </c>
      <c r="Q923" s="10" t="s">
        <v>1125</v>
      </c>
      <c r="R923" s="10">
        <f t="shared" si="97"/>
        <v>0</v>
      </c>
      <c r="S923" s="10"/>
      <c r="T923" s="10"/>
      <c r="U923" s="10"/>
      <c r="X923" s="10"/>
    </row>
    <row r="924" spans="1:24" ht="12" customHeight="1" x14ac:dyDescent="0.25">
      <c r="A924" s="1" t="str">
        <f>IF(R924=0,"",COUNTIF(A$23:A923,"&gt;0")+1)</f>
        <v/>
      </c>
      <c r="P924" s="10"/>
      <c r="Q924" s="10"/>
      <c r="R924" s="10"/>
      <c r="S924" s="10"/>
      <c r="T924" s="10"/>
      <c r="U924" s="10"/>
      <c r="X924" s="10"/>
    </row>
    <row r="925" spans="1:24" ht="12.75" customHeight="1" x14ac:dyDescent="0.25">
      <c r="A925" s="1" t="str">
        <f>IF(R925=0,"",COUNTIF(A$23:A924,"&gt;0")+1)</f>
        <v/>
      </c>
      <c r="B925" s="1300" t="s">
        <v>41</v>
      </c>
      <c r="C925" s="1300"/>
      <c r="D925" s="1281" t="s">
        <v>1141</v>
      </c>
      <c r="E925" s="1281"/>
      <c r="F925" s="1281"/>
      <c r="G925" s="1281"/>
      <c r="H925" s="1281"/>
      <c r="I925" s="1281"/>
      <c r="J925" s="1281"/>
      <c r="K925" s="1281"/>
      <c r="L925" s="1281"/>
      <c r="M925" s="1281"/>
      <c r="N925" s="1281"/>
      <c r="O925" s="1281"/>
      <c r="P925" s="10"/>
      <c r="Q925" s="10"/>
      <c r="R925" s="10"/>
      <c r="S925" s="10"/>
      <c r="T925" s="10"/>
      <c r="U925" s="10"/>
      <c r="X925" s="10"/>
    </row>
    <row r="926" spans="1:24" ht="12.75" customHeight="1" x14ac:dyDescent="0.25">
      <c r="A926" s="1" t="str">
        <f>IF(R926=0,"",COUNTIF(A$23:A925,"&gt;0")+1)</f>
        <v/>
      </c>
      <c r="B926" s="1300"/>
      <c r="C926" s="1300"/>
      <c r="D926" s="1281"/>
      <c r="E926" s="1281"/>
      <c r="F926" s="1281"/>
      <c r="G926" s="1281"/>
      <c r="H926" s="1281"/>
      <c r="I926" s="1281"/>
      <c r="J926" s="1281"/>
      <c r="K926" s="1281"/>
      <c r="L926" s="1281"/>
      <c r="M926" s="1281"/>
      <c r="N926" s="1281"/>
      <c r="O926" s="1281"/>
      <c r="P926" s="10"/>
      <c r="Q926" s="10"/>
      <c r="R926" s="10"/>
      <c r="S926" s="10"/>
      <c r="T926" s="10"/>
      <c r="U926" s="10"/>
      <c r="X926" s="10"/>
    </row>
    <row r="927" spans="1:24" ht="11.25" customHeight="1" x14ac:dyDescent="0.25">
      <c r="A927" s="1" t="str">
        <f>IF(R927=0,"",COUNTIF(A$23:A926,"&gt;0")+1)</f>
        <v/>
      </c>
      <c r="B927" s="216"/>
      <c r="C927" s="456" t="s">
        <v>42</v>
      </c>
      <c r="D927" s="527" t="s">
        <v>1375</v>
      </c>
      <c r="E927" s="65"/>
      <c r="F927" s="65"/>
      <c r="G927" s="65"/>
      <c r="H927" s="659"/>
      <c r="I927" s="454"/>
      <c r="J927" s="446"/>
      <c r="K927" s="446"/>
      <c r="L927" s="446"/>
      <c r="M927" s="1271">
        <v>2.5</v>
      </c>
      <c r="N927" s="1271"/>
      <c r="O927" s="1271"/>
      <c r="P927" s="10" t="str">
        <f>VLOOKUP(D927,A!A$1:G$767,2,FALSE)</f>
        <v>y</v>
      </c>
      <c r="Q927" s="10" t="s">
        <v>1141</v>
      </c>
      <c r="R927" s="10">
        <f t="shared" ref="R927:R935" si="98">B927</f>
        <v>0</v>
      </c>
      <c r="S927" s="10"/>
      <c r="T927" s="10"/>
      <c r="U927" s="10"/>
      <c r="X927" s="10"/>
    </row>
    <row r="928" spans="1:24" ht="11.25" hidden="1" customHeight="1" x14ac:dyDescent="0.25">
      <c r="A928" s="1" t="str">
        <f>IF(R928=0,"",COUNTIF(A$23:A927,"&gt;0")+1)</f>
        <v/>
      </c>
      <c r="B928" s="131"/>
      <c r="C928" s="456" t="s">
        <v>42</v>
      </c>
      <c r="D928" s="64" t="s">
        <v>1143</v>
      </c>
      <c r="E928" s="65"/>
      <c r="F928" s="65"/>
      <c r="G928" s="65"/>
      <c r="H928" s="660"/>
      <c r="I928" s="446"/>
      <c r="J928" s="446"/>
      <c r="K928" s="446"/>
      <c r="L928" s="446"/>
      <c r="M928" s="1271">
        <v>2.5</v>
      </c>
      <c r="N928" s="1271"/>
      <c r="O928" s="1271"/>
      <c r="P928" s="10">
        <f>VLOOKUP(D928,A!A$1:G$767,2,FALSE)</f>
        <v>0</v>
      </c>
      <c r="Q928" s="10" t="s">
        <v>1141</v>
      </c>
      <c r="R928" s="10">
        <f t="shared" si="98"/>
        <v>0</v>
      </c>
      <c r="S928" s="10"/>
      <c r="T928" s="10"/>
      <c r="U928" s="10"/>
      <c r="X928" s="10"/>
    </row>
    <row r="929" spans="1:24" ht="11.25" customHeight="1" x14ac:dyDescent="0.25">
      <c r="A929" s="1" t="str">
        <f>IF(R929=0,"",COUNTIF(A$23:A928,"&gt;0")+1)</f>
        <v/>
      </c>
      <c r="B929" s="131"/>
      <c r="C929" s="456" t="s">
        <v>42</v>
      </c>
      <c r="D929" s="64" t="s">
        <v>1144</v>
      </c>
      <c r="E929" s="65"/>
      <c r="F929" s="65"/>
      <c r="G929" s="65"/>
      <c r="H929" s="661"/>
      <c r="I929" s="446"/>
      <c r="J929" s="446"/>
      <c r="K929" s="446"/>
      <c r="L929" s="446"/>
      <c r="M929" s="1271">
        <v>3.42</v>
      </c>
      <c r="N929" s="1271"/>
      <c r="O929" s="1271"/>
      <c r="P929" s="10" t="str">
        <f>VLOOKUP(D929,A!A$1:G$767,2,FALSE)</f>
        <v>Y</v>
      </c>
      <c r="Q929" s="10" t="s">
        <v>1141</v>
      </c>
      <c r="R929" s="10">
        <f t="shared" si="98"/>
        <v>0</v>
      </c>
      <c r="S929" s="10"/>
      <c r="T929" s="10"/>
      <c r="U929" s="10"/>
      <c r="X929" s="10"/>
    </row>
    <row r="930" spans="1:24" ht="11.25" customHeight="1" x14ac:dyDescent="0.25">
      <c r="A930" s="1" t="str">
        <f>IF(R930=0,"",COUNTIF(A$23:A929,"&gt;0")+1)</f>
        <v/>
      </c>
      <c r="B930" s="131"/>
      <c r="C930" s="456" t="s">
        <v>42</v>
      </c>
      <c r="D930" s="64" t="s">
        <v>1145</v>
      </c>
      <c r="E930" s="65"/>
      <c r="F930" s="65"/>
      <c r="G930" s="65"/>
      <c r="H930" s="661"/>
      <c r="I930" s="446"/>
      <c r="J930" s="446"/>
      <c r="K930" s="446"/>
      <c r="L930" s="446"/>
      <c r="M930" s="1271">
        <v>3.42</v>
      </c>
      <c r="N930" s="1271"/>
      <c r="O930" s="1271"/>
      <c r="P930" s="10" t="str">
        <f>VLOOKUP(D930,A!A$1:G$767,2,FALSE)</f>
        <v>Y</v>
      </c>
      <c r="Q930" s="10" t="s">
        <v>1141</v>
      </c>
      <c r="R930" s="10">
        <f t="shared" si="98"/>
        <v>0</v>
      </c>
      <c r="S930" s="10"/>
      <c r="T930" s="10"/>
      <c r="U930" s="10"/>
      <c r="X930" s="10"/>
    </row>
    <row r="931" spans="1:24" ht="11.25" customHeight="1" x14ac:dyDescent="0.25">
      <c r="A931" s="1" t="str">
        <f>IF(R931=0,"",COUNTIF(A$23:A930,"&gt;0")+1)</f>
        <v/>
      </c>
      <c r="B931" s="131"/>
      <c r="C931" s="456" t="s">
        <v>42</v>
      </c>
      <c r="D931" s="64" t="s">
        <v>1146</v>
      </c>
      <c r="E931" s="65"/>
      <c r="F931" s="65"/>
      <c r="G931" s="65"/>
      <c r="H931" s="661"/>
      <c r="I931" s="446"/>
      <c r="J931" s="446"/>
      <c r="K931" s="446"/>
      <c r="L931" s="446"/>
      <c r="M931" s="1271">
        <v>2.5</v>
      </c>
      <c r="N931" s="1271"/>
      <c r="O931" s="1271"/>
      <c r="P931" s="10" t="str">
        <f>VLOOKUP(D931,A!A$1:G$767,2,FALSE)</f>
        <v>Y</v>
      </c>
      <c r="Q931" s="10" t="s">
        <v>1141</v>
      </c>
      <c r="R931" s="10">
        <f t="shared" si="98"/>
        <v>0</v>
      </c>
      <c r="S931" s="10"/>
      <c r="T931" s="10"/>
      <c r="U931" s="10"/>
      <c r="X931" s="10"/>
    </row>
    <row r="932" spans="1:24" ht="11.25" customHeight="1" x14ac:dyDescent="0.25">
      <c r="A932" s="1" t="str">
        <f>IF(R932=0,"",COUNTIF(A$23:A931,"&gt;0")+1)</f>
        <v/>
      </c>
      <c r="B932" s="131"/>
      <c r="C932" s="456" t="s">
        <v>42</v>
      </c>
      <c r="D932" s="64" t="s">
        <v>1147</v>
      </c>
      <c r="E932" s="65"/>
      <c r="F932" s="65"/>
      <c r="G932" s="65"/>
      <c r="H932" s="661"/>
      <c r="I932" s="446"/>
      <c r="J932" s="446"/>
      <c r="K932" s="446"/>
      <c r="L932" s="446"/>
      <c r="M932" s="1271">
        <v>3.42</v>
      </c>
      <c r="N932" s="1271"/>
      <c r="O932" s="1271"/>
      <c r="P932" s="10" t="str">
        <f>VLOOKUP(D932,A!A$1:G$767,2,FALSE)</f>
        <v>Y</v>
      </c>
      <c r="Q932" s="10" t="s">
        <v>1141</v>
      </c>
      <c r="R932" s="10">
        <f t="shared" si="98"/>
        <v>0</v>
      </c>
      <c r="S932" s="10"/>
      <c r="T932" s="10"/>
      <c r="U932" s="10"/>
      <c r="X932" s="10"/>
    </row>
    <row r="933" spans="1:24" ht="11.25" customHeight="1" x14ac:dyDescent="0.25">
      <c r="A933" s="1" t="str">
        <f>IF(R933=0,"",COUNTIF(A$23:A932,"&gt;0")+1)</f>
        <v/>
      </c>
      <c r="B933" s="131"/>
      <c r="C933" s="456" t="s">
        <v>42</v>
      </c>
      <c r="D933" s="64" t="s">
        <v>1148</v>
      </c>
      <c r="E933" s="65"/>
      <c r="F933" s="65"/>
      <c r="G933" s="65"/>
      <c r="H933" s="661"/>
      <c r="I933" s="446"/>
      <c r="J933" s="446"/>
      <c r="K933" s="446"/>
      <c r="L933" s="446"/>
      <c r="M933" s="1271">
        <v>14.7</v>
      </c>
      <c r="N933" s="1271"/>
      <c r="O933" s="1271"/>
      <c r="P933" s="10" t="str">
        <f>VLOOKUP(D933,A!A$1:G$767,2,FALSE)</f>
        <v>Y</v>
      </c>
      <c r="Q933" s="10" t="s">
        <v>1141</v>
      </c>
      <c r="R933" s="10">
        <f t="shared" si="98"/>
        <v>0</v>
      </c>
      <c r="S933" s="10"/>
      <c r="T933" s="10"/>
      <c r="U933" s="10"/>
      <c r="X933" s="10"/>
    </row>
    <row r="934" spans="1:24" ht="11.25" hidden="1" customHeight="1" x14ac:dyDescent="0.25">
      <c r="A934" s="1" t="str">
        <f>IF(R934=0,"",COUNTIF(A$23:A933,"&gt;0")+1)</f>
        <v/>
      </c>
      <c r="B934" s="131"/>
      <c r="C934" s="456" t="s">
        <v>42</v>
      </c>
      <c r="D934" s="64" t="s">
        <v>1149</v>
      </c>
      <c r="E934" s="65"/>
      <c r="F934" s="65"/>
      <c r="G934" s="65"/>
      <c r="H934" s="662"/>
      <c r="I934" s="446"/>
      <c r="J934" s="446"/>
      <c r="K934" s="446"/>
      <c r="L934" s="446"/>
      <c r="M934" s="1271">
        <v>3.42</v>
      </c>
      <c r="N934" s="1271"/>
      <c r="O934" s="1271"/>
      <c r="P934" s="10">
        <f>VLOOKUP(D934,A!A$1:G$767,2,FALSE)</f>
        <v>0</v>
      </c>
      <c r="Q934" s="10" t="s">
        <v>1141</v>
      </c>
      <c r="R934" s="10">
        <f t="shared" si="98"/>
        <v>0</v>
      </c>
      <c r="S934" s="10"/>
      <c r="T934" s="10"/>
      <c r="U934" s="10"/>
      <c r="X934" s="10"/>
    </row>
    <row r="935" spans="1:24" ht="11.25" customHeight="1" x14ac:dyDescent="0.25">
      <c r="A935" s="1" t="str">
        <f>IF(R935=0,"",COUNTIF(A$23:A934,"&gt;0")+1)</f>
        <v/>
      </c>
      <c r="B935" s="457"/>
      <c r="C935" s="63" t="s">
        <v>42</v>
      </c>
      <c r="D935" s="64" t="s">
        <v>1150</v>
      </c>
      <c r="E935" s="65"/>
      <c r="F935" s="65"/>
      <c r="G935" s="65"/>
      <c r="H935" s="662"/>
      <c r="I935" s="446"/>
      <c r="J935" s="446"/>
      <c r="K935" s="446"/>
      <c r="L935" s="446"/>
      <c r="M935" s="1271">
        <v>2.5</v>
      </c>
      <c r="N935" s="1271"/>
      <c r="O935" s="1271"/>
      <c r="P935" s="10" t="str">
        <f>VLOOKUP(D935,A!A$1:G$767,2,FALSE)</f>
        <v>Y</v>
      </c>
      <c r="Q935" s="10" t="s">
        <v>1141</v>
      </c>
      <c r="R935" s="10">
        <f t="shared" si="98"/>
        <v>0</v>
      </c>
      <c r="S935" s="10"/>
      <c r="T935" s="10"/>
      <c r="U935" s="10"/>
      <c r="X935" s="10"/>
    </row>
    <row r="936" spans="1:24" ht="13.5" customHeight="1" thickBot="1" x14ac:dyDescent="0.3">
      <c r="A936" s="1" t="str">
        <f>IF(R936=0,"",COUNTIF(A$32:A935,"&gt;0")+1)</f>
        <v/>
      </c>
      <c r="P936" s="10"/>
      <c r="Q936" s="10"/>
      <c r="R936" s="10"/>
      <c r="S936" s="10"/>
      <c r="T936" s="10"/>
      <c r="U936" s="10"/>
      <c r="X936" s="10"/>
    </row>
    <row r="937" spans="1:24" ht="13.5" hidden="1" customHeight="1" x14ac:dyDescent="0.25">
      <c r="A937" s="1" t="str">
        <f>IF(R937=0,"",COUNTIF(A$32:A936,"&gt;0")+1)</f>
        <v/>
      </c>
      <c r="B937" s="1300" t="s">
        <v>41</v>
      </c>
      <c r="C937" s="1300"/>
      <c r="D937" s="1301" t="s">
        <v>1151</v>
      </c>
      <c r="E937" s="1301"/>
      <c r="F937" s="1301"/>
      <c r="G937" s="1301"/>
      <c r="H937" s="1302" t="s">
        <v>1152</v>
      </c>
      <c r="I937" s="1302"/>
      <c r="J937" s="1302"/>
      <c r="K937" s="1302"/>
      <c r="L937" s="1302"/>
      <c r="M937" s="1303" t="s">
        <v>1153</v>
      </c>
      <c r="N937" s="1303"/>
      <c r="O937" s="1303"/>
      <c r="P937" s="10"/>
      <c r="Q937" s="10"/>
      <c r="R937" s="10"/>
      <c r="S937" s="10"/>
      <c r="T937" s="10"/>
      <c r="U937" s="10"/>
      <c r="X937" s="10"/>
    </row>
    <row r="938" spans="1:24" ht="10.15" hidden="1" customHeight="1" x14ac:dyDescent="0.25">
      <c r="A938" s="1" t="str">
        <f>IF(R938=0,"",COUNTIF(A$32:A937,"&gt;0")+1)</f>
        <v/>
      </c>
      <c r="B938" s="1300"/>
      <c r="C938" s="1300"/>
      <c r="D938" s="1301"/>
      <c r="E938" s="1301"/>
      <c r="F938" s="1301"/>
      <c r="G938" s="1301"/>
      <c r="H938" s="1304" t="s">
        <v>1154</v>
      </c>
      <c r="I938" s="1304"/>
      <c r="J938" s="1304"/>
      <c r="K938" s="1304"/>
      <c r="L938" s="1304"/>
      <c r="M938" s="1303"/>
      <c r="N938" s="1303"/>
      <c r="O938" s="1303"/>
      <c r="P938" s="10"/>
      <c r="Q938" s="10"/>
      <c r="R938" s="10"/>
      <c r="S938" s="10"/>
      <c r="T938" s="10"/>
      <c r="U938" s="10"/>
      <c r="X938" s="10"/>
    </row>
    <row r="939" spans="1:24" ht="12.6" hidden="1" customHeight="1" x14ac:dyDescent="0.25">
      <c r="A939" s="1" t="str">
        <f>IF(R939=0,"",COUNTIF(A$32:A938,"&gt;0")+1)</f>
        <v/>
      </c>
      <c r="B939" s="131"/>
      <c r="C939" s="63" t="s">
        <v>42</v>
      </c>
      <c r="D939" s="64" t="s">
        <v>1155</v>
      </c>
      <c r="E939" s="65"/>
      <c r="F939" s="1270" t="s">
        <v>1156</v>
      </c>
      <c r="G939" s="1270"/>
      <c r="H939" s="1270"/>
      <c r="I939" s="1270"/>
      <c r="J939" s="1270"/>
      <c r="K939" s="1270"/>
      <c r="L939" s="1270"/>
      <c r="M939" s="1269">
        <v>547</v>
      </c>
      <c r="N939" s="1269"/>
      <c r="O939" s="1269"/>
      <c r="P939" s="10" t="str">
        <f>VLOOKUP(D939,A!A$1:G$767,2,FALSE)</f>
        <v>Y</v>
      </c>
      <c r="Q939" s="10" t="s">
        <v>1157</v>
      </c>
      <c r="R939" s="10">
        <f>B939</f>
        <v>0</v>
      </c>
      <c r="S939" s="10">
        <f>VLOOKUP(D939,A!A$1:AK$767,31,FALSE)</f>
        <v>35</v>
      </c>
      <c r="T939" s="10">
        <v>5</v>
      </c>
      <c r="U939" s="10">
        <f>T939*B939</f>
        <v>0</v>
      </c>
      <c r="X939" s="10"/>
    </row>
    <row r="940" spans="1:24" ht="12.6" hidden="1" customHeight="1" x14ac:dyDescent="0.25">
      <c r="A940" s="1" t="str">
        <f>IF(R940=0,"",COUNTIF(A$32:A939,"&gt;0")+1)</f>
        <v/>
      </c>
      <c r="B940" s="131"/>
      <c r="C940" s="63" t="s">
        <v>42</v>
      </c>
      <c r="D940" s="64" t="s">
        <v>1158</v>
      </c>
      <c r="E940" s="65"/>
      <c r="F940" s="1270" t="s">
        <v>1159</v>
      </c>
      <c r="G940" s="1270"/>
      <c r="H940" s="1270"/>
      <c r="I940" s="1270"/>
      <c r="J940" s="1270"/>
      <c r="K940" s="1270"/>
      <c r="L940" s="1270"/>
      <c r="M940" s="1269">
        <v>574</v>
      </c>
      <c r="N940" s="1269"/>
      <c r="O940" s="1269"/>
      <c r="P940" s="10" t="str">
        <f>VLOOKUP(D940,A!A$1:G$767,2,FALSE)</f>
        <v>y</v>
      </c>
      <c r="Q940" s="10" t="s">
        <v>1157</v>
      </c>
      <c r="R940" s="10">
        <f>B940</f>
        <v>0</v>
      </c>
      <c r="S940" s="10">
        <f>VLOOKUP(D940,A!A$1:AK$767,31,FALSE)</f>
        <v>35</v>
      </c>
      <c r="T940" s="10">
        <v>5</v>
      </c>
      <c r="U940" s="10">
        <f>T940*B940</f>
        <v>0</v>
      </c>
      <c r="X940" s="10"/>
    </row>
    <row r="941" spans="1:24" ht="12.6" hidden="1" customHeight="1" x14ac:dyDescent="0.25">
      <c r="A941" s="1" t="str">
        <f>IF(R941=0,"",COUNTIF(A$32:A940,"&gt;0")+1)</f>
        <v/>
      </c>
      <c r="B941" s="131"/>
      <c r="C941" s="63" t="s">
        <v>42</v>
      </c>
      <c r="D941" s="64" t="s">
        <v>1160</v>
      </c>
      <c r="E941" s="65"/>
      <c r="F941" s="1270" t="s">
        <v>1161</v>
      </c>
      <c r="G941" s="1270"/>
      <c r="H941" s="1270"/>
      <c r="I941" s="1270"/>
      <c r="J941" s="1270"/>
      <c r="K941" s="1270"/>
      <c r="L941" s="1270"/>
      <c r="M941" s="1269">
        <v>540</v>
      </c>
      <c r="N941" s="1269"/>
      <c r="O941" s="1269"/>
      <c r="P941" s="10" t="str">
        <f>VLOOKUP(D941,A!A$1:G$767,2,FALSE)</f>
        <v>y</v>
      </c>
      <c r="Q941" s="10" t="s">
        <v>1157</v>
      </c>
      <c r="R941" s="10">
        <f>B941</f>
        <v>0</v>
      </c>
      <c r="S941" s="10">
        <f>VLOOKUP(D941,A!A$1:AK$767,31,FALSE)</f>
        <v>35</v>
      </c>
      <c r="T941" s="10">
        <v>5</v>
      </c>
      <c r="U941" s="10">
        <f>T941*B941</f>
        <v>0</v>
      </c>
      <c r="X941" s="10"/>
    </row>
    <row r="942" spans="1:24" ht="12.6" hidden="1" customHeight="1" x14ac:dyDescent="0.25">
      <c r="A942" s="1" t="str">
        <f>IF(R942=0,"",COUNTIF(A$32:A941,"&gt;0")+1)</f>
        <v/>
      </c>
      <c r="B942" s="131"/>
      <c r="C942" s="63" t="s">
        <v>42</v>
      </c>
      <c r="D942" s="64" t="s">
        <v>1162</v>
      </c>
      <c r="E942" s="65"/>
      <c r="F942" s="1270" t="s">
        <v>1163</v>
      </c>
      <c r="G942" s="1270"/>
      <c r="H942" s="1270"/>
      <c r="I942" s="1270"/>
      <c r="J942" s="1270"/>
      <c r="K942" s="1270"/>
      <c r="L942" s="1270"/>
      <c r="M942" s="1269">
        <v>870</v>
      </c>
      <c r="N942" s="1269"/>
      <c r="O942" s="1269"/>
      <c r="P942" s="10" t="str">
        <f>VLOOKUP(D942,A!A$1:G$767,2,FALSE)</f>
        <v>y</v>
      </c>
      <c r="Q942" s="10" t="s">
        <v>1157</v>
      </c>
      <c r="R942" s="10">
        <f>B942</f>
        <v>0</v>
      </c>
      <c r="S942" s="10">
        <f>VLOOKUP(D942,A!A$1:AK$767,31,FALSE)</f>
        <v>35</v>
      </c>
      <c r="T942" s="10">
        <v>10</v>
      </c>
      <c r="U942" s="10">
        <f>T942*B942</f>
        <v>0</v>
      </c>
      <c r="X942" s="10"/>
    </row>
    <row r="943" spans="1:24" ht="12.6" hidden="1" customHeight="1" thickBot="1" x14ac:dyDescent="0.3">
      <c r="A943" s="1" t="str">
        <f>IF(R943=0,"",COUNTIF(A$32:A942,"&gt;0")+1)</f>
        <v/>
      </c>
      <c r="B943" s="216"/>
      <c r="C943" s="577" t="s">
        <v>42</v>
      </c>
      <c r="D943" s="602" t="s">
        <v>1164</v>
      </c>
      <c r="E943" s="217"/>
      <c r="F943" s="1280" t="s">
        <v>1165</v>
      </c>
      <c r="G943" s="1280"/>
      <c r="H943" s="1280"/>
      <c r="I943" s="1280"/>
      <c r="J943" s="1280"/>
      <c r="K943" s="1280"/>
      <c r="L943" s="1280"/>
      <c r="M943" s="1269">
        <v>852</v>
      </c>
      <c r="N943" s="1269"/>
      <c r="O943" s="1269"/>
      <c r="P943" s="10" t="str">
        <f>VLOOKUP(D943,A!A$1:G$767,2,FALSE)</f>
        <v>y</v>
      </c>
      <c r="Q943" s="10" t="s">
        <v>1157</v>
      </c>
      <c r="R943" s="10">
        <f>B943</f>
        <v>0</v>
      </c>
      <c r="S943" s="10">
        <f>VLOOKUP(D943,A!A$1:AK$767,31,FALSE)</f>
        <v>35</v>
      </c>
      <c r="T943" s="10">
        <v>10</v>
      </c>
      <c r="U943" s="10">
        <f>T943*B943</f>
        <v>0</v>
      </c>
      <c r="X943" s="10"/>
    </row>
    <row r="944" spans="1:24" ht="10.9" customHeight="1" x14ac:dyDescent="0.25">
      <c r="B944" s="1162" t="s">
        <v>1335</v>
      </c>
      <c r="C944" s="1163"/>
      <c r="D944" s="1163"/>
      <c r="E944" s="1163"/>
      <c r="F944" s="1163"/>
      <c r="G944" s="1163"/>
      <c r="H944" s="1163"/>
      <c r="I944" s="1163"/>
      <c r="J944" s="1163"/>
      <c r="K944" s="1163"/>
      <c r="L944" s="1163"/>
      <c r="M944" s="1163"/>
      <c r="N944" s="1163"/>
      <c r="O944" s="1164"/>
      <c r="P944" s="10"/>
      <c r="Q944" s="10"/>
      <c r="R944" s="10"/>
      <c r="S944" s="10"/>
      <c r="T944" s="10"/>
      <c r="U944" s="10"/>
      <c r="X944" s="10"/>
    </row>
    <row r="945" spans="2:24" ht="10.9" customHeight="1" x14ac:dyDescent="0.25">
      <c r="B945" s="1165"/>
      <c r="C945" s="1166"/>
      <c r="D945" s="1166"/>
      <c r="E945" s="1166"/>
      <c r="F945" s="1166"/>
      <c r="G945" s="1166"/>
      <c r="H945" s="1166"/>
      <c r="I945" s="1166"/>
      <c r="J945" s="1166"/>
      <c r="K945" s="1166"/>
      <c r="L945" s="1166"/>
      <c r="M945" s="1166"/>
      <c r="N945" s="1166"/>
      <c r="O945" s="1167"/>
      <c r="P945" s="10"/>
      <c r="Q945" s="10"/>
      <c r="R945" s="10"/>
      <c r="S945" s="10"/>
      <c r="T945" s="10"/>
      <c r="U945" s="10"/>
      <c r="X945" s="10"/>
    </row>
    <row r="946" spans="2:24" ht="10.9" customHeight="1" x14ac:dyDescent="0.25">
      <c r="B946" s="1165"/>
      <c r="C946" s="1166"/>
      <c r="D946" s="1166"/>
      <c r="E946" s="1166"/>
      <c r="F946" s="1166"/>
      <c r="G946" s="1166"/>
      <c r="H946" s="1166"/>
      <c r="I946" s="1166"/>
      <c r="J946" s="1166"/>
      <c r="K946" s="1166"/>
      <c r="L946" s="1166"/>
      <c r="M946" s="1166"/>
      <c r="N946" s="1166"/>
      <c r="O946" s="1167"/>
      <c r="P946" s="10"/>
      <c r="Q946" s="10"/>
      <c r="R946" s="10"/>
      <c r="S946" s="10"/>
      <c r="T946" s="10"/>
      <c r="U946" s="10"/>
      <c r="X946" s="10"/>
    </row>
    <row r="947" spans="2:24" ht="10.9" customHeight="1" x14ac:dyDescent="0.25">
      <c r="B947" s="1165"/>
      <c r="C947" s="1166"/>
      <c r="D947" s="1166"/>
      <c r="E947" s="1166"/>
      <c r="F947" s="1166"/>
      <c r="G947" s="1166"/>
      <c r="H947" s="1166"/>
      <c r="I947" s="1166"/>
      <c r="J947" s="1166"/>
      <c r="K947" s="1166"/>
      <c r="L947" s="1166"/>
      <c r="M947" s="1166"/>
      <c r="N947" s="1166"/>
      <c r="O947" s="1167"/>
      <c r="P947" s="10"/>
      <c r="Q947" s="10"/>
      <c r="R947" s="10"/>
      <c r="S947" s="10"/>
      <c r="T947" s="10"/>
      <c r="U947" s="10"/>
      <c r="X947" s="10"/>
    </row>
    <row r="948" spans="2:24" ht="10.9" customHeight="1" x14ac:dyDescent="0.25">
      <c r="B948" s="1165"/>
      <c r="C948" s="1166"/>
      <c r="D948" s="1166"/>
      <c r="E948" s="1166"/>
      <c r="F948" s="1166"/>
      <c r="G948" s="1166"/>
      <c r="H948" s="1166"/>
      <c r="I948" s="1166"/>
      <c r="J948" s="1166"/>
      <c r="K948" s="1166"/>
      <c r="L948" s="1166"/>
      <c r="M948" s="1166"/>
      <c r="N948" s="1166"/>
      <c r="O948" s="1167"/>
      <c r="P948" s="10"/>
      <c r="Q948" s="10"/>
      <c r="R948" s="10"/>
      <c r="S948" s="10"/>
      <c r="T948" s="10"/>
      <c r="U948" s="10"/>
      <c r="X948" s="10"/>
    </row>
    <row r="949" spans="2:24" ht="10.9" customHeight="1" x14ac:dyDescent="0.25">
      <c r="B949" s="1165"/>
      <c r="C949" s="1166"/>
      <c r="D949" s="1166"/>
      <c r="E949" s="1166"/>
      <c r="F949" s="1166"/>
      <c r="G949" s="1166"/>
      <c r="H949" s="1166"/>
      <c r="I949" s="1166"/>
      <c r="J949" s="1166"/>
      <c r="K949" s="1166"/>
      <c r="L949" s="1166"/>
      <c r="M949" s="1166"/>
      <c r="N949" s="1166"/>
      <c r="O949" s="1167"/>
      <c r="P949" s="10"/>
      <c r="Q949" s="10"/>
      <c r="R949" s="10"/>
      <c r="S949" s="10"/>
      <c r="T949" s="10"/>
      <c r="U949" s="10"/>
      <c r="X949" s="10"/>
    </row>
    <row r="950" spans="2:24" ht="10.9" customHeight="1" thickBot="1" x14ac:dyDescent="0.3">
      <c r="B950" s="1168"/>
      <c r="C950" s="1169"/>
      <c r="D950" s="1169"/>
      <c r="E950" s="1169"/>
      <c r="F950" s="1169"/>
      <c r="G950" s="1169"/>
      <c r="H950" s="1169"/>
      <c r="I950" s="1169"/>
      <c r="J950" s="1169"/>
      <c r="K950" s="1169"/>
      <c r="L950" s="1169"/>
      <c r="M950" s="1169"/>
      <c r="N950" s="1169"/>
      <c r="O950" s="1170"/>
      <c r="P950" s="10"/>
      <c r="Q950" s="10"/>
      <c r="R950" s="10"/>
      <c r="S950" s="10"/>
      <c r="T950" s="10"/>
      <c r="U950" s="10"/>
      <c r="X950" s="10"/>
    </row>
    <row r="951" spans="2:24" ht="16.5" customHeight="1" x14ac:dyDescent="0.25">
      <c r="B951" s="680"/>
      <c r="C951" s="680"/>
      <c r="D951" s="680"/>
      <c r="E951" s="680"/>
      <c r="F951" s="680"/>
      <c r="G951" s="680"/>
      <c r="H951" s="680"/>
      <c r="I951" s="680"/>
      <c r="J951" s="680"/>
      <c r="K951" s="680"/>
      <c r="L951" s="680"/>
      <c r="M951" s="680"/>
      <c r="N951" s="680"/>
      <c r="O951" s="680"/>
      <c r="P951" s="10"/>
      <c r="Q951" s="10"/>
      <c r="R951" s="10"/>
      <c r="S951" s="10"/>
      <c r="T951" s="10"/>
      <c r="U951" s="10"/>
      <c r="X951" s="10"/>
    </row>
    <row r="952" spans="2:24" ht="15" customHeight="1" x14ac:dyDescent="0.25">
      <c r="B952" s="664"/>
      <c r="C952" s="664"/>
      <c r="D952" s="664"/>
      <c r="E952" s="664"/>
      <c r="F952" s="664"/>
      <c r="G952" s="664"/>
      <c r="H952" s="664"/>
      <c r="I952" s="664"/>
      <c r="J952" s="664"/>
      <c r="K952" s="664"/>
      <c r="L952" s="664"/>
      <c r="M952" s="664"/>
      <c r="N952" s="664"/>
      <c r="O952" s="664"/>
    </row>
    <row r="953" spans="2:24" ht="15" customHeight="1" x14ac:dyDescent="0.25">
      <c r="B953" s="664"/>
      <c r="C953" s="664"/>
      <c r="D953" s="664"/>
      <c r="E953" s="664"/>
      <c r="F953" s="664"/>
      <c r="G953" s="664"/>
      <c r="H953" s="664"/>
      <c r="I953" s="664"/>
      <c r="J953" s="664"/>
      <c r="K953" s="664"/>
      <c r="L953" s="664"/>
      <c r="M953" s="664"/>
      <c r="N953" s="664"/>
      <c r="O953" s="664"/>
    </row>
    <row r="954" spans="2:24" ht="15" customHeight="1" x14ac:dyDescent="0.25">
      <c r="B954" s="664"/>
      <c r="C954" s="664"/>
      <c r="D954" s="664"/>
      <c r="E954" s="664"/>
      <c r="F954" s="664"/>
      <c r="G954" s="664"/>
      <c r="H954" s="664"/>
      <c r="I954" s="664"/>
      <c r="J954" s="664"/>
      <c r="K954" s="664"/>
      <c r="L954" s="664"/>
      <c r="M954" s="664"/>
      <c r="N954" s="664"/>
      <c r="O954" s="664"/>
    </row>
    <row r="955" spans="2:24" ht="15" customHeight="1" x14ac:dyDescent="0.25">
      <c r="B955" s="664"/>
      <c r="C955" s="664"/>
      <c r="D955" s="664"/>
      <c r="E955" s="664"/>
      <c r="F955" s="664"/>
      <c r="G955" s="664"/>
      <c r="H955" s="664"/>
      <c r="I955" s="664"/>
      <c r="J955" s="664"/>
      <c r="K955" s="664"/>
      <c r="L955" s="664"/>
      <c r="M955" s="664"/>
      <c r="N955" s="664"/>
      <c r="O955" s="664"/>
    </row>
  </sheetData>
  <autoFilter ref="A2:O894" xr:uid="{00000000-0009-0000-0000-000000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202">
    <mergeCell ref="B713:C713"/>
    <mergeCell ref="M917:O917"/>
    <mergeCell ref="L832:N833"/>
    <mergeCell ref="M918:O918"/>
    <mergeCell ref="B861:C861"/>
    <mergeCell ref="B843:C843"/>
    <mergeCell ref="D843:G844"/>
    <mergeCell ref="B844:C844"/>
    <mergeCell ref="B852:C852"/>
    <mergeCell ref="D852:G853"/>
    <mergeCell ref="B853:C853"/>
    <mergeCell ref="B912:C912"/>
    <mergeCell ref="D912:O913"/>
    <mergeCell ref="B913:C913"/>
    <mergeCell ref="B885:C885"/>
    <mergeCell ref="B886:C886"/>
    <mergeCell ref="B896:C896"/>
    <mergeCell ref="H873:H874"/>
    <mergeCell ref="B874:C874"/>
    <mergeCell ref="B897:C897"/>
    <mergeCell ref="H714:I714"/>
    <mergeCell ref="D896:F897"/>
    <mergeCell ref="G896:O896"/>
    <mergeCell ref="B726:C726"/>
    <mergeCell ref="M914:O914"/>
    <mergeCell ref="M915:O915"/>
    <mergeCell ref="M916:O916"/>
    <mergeCell ref="B937:C938"/>
    <mergeCell ref="D937:G938"/>
    <mergeCell ref="H937:L937"/>
    <mergeCell ref="M937:O938"/>
    <mergeCell ref="H938:L938"/>
    <mergeCell ref="M935:O935"/>
    <mergeCell ref="D726:G727"/>
    <mergeCell ref="H726:H727"/>
    <mergeCell ref="B727:C727"/>
    <mergeCell ref="B791:C791"/>
    <mergeCell ref="M933:O933"/>
    <mergeCell ref="B832:C832"/>
    <mergeCell ref="D832:H833"/>
    <mergeCell ref="B833:C833"/>
    <mergeCell ref="B839:C839"/>
    <mergeCell ref="D839:I840"/>
    <mergeCell ref="B840:C840"/>
    <mergeCell ref="B737:C737"/>
    <mergeCell ref="D737:G738"/>
    <mergeCell ref="H737:H738"/>
    <mergeCell ref="B738:C738"/>
    <mergeCell ref="B790:C790"/>
    <mergeCell ref="D790:G791"/>
    <mergeCell ref="H790:H791"/>
    <mergeCell ref="D861:G862"/>
    <mergeCell ref="D885:J886"/>
    <mergeCell ref="H861:H862"/>
    <mergeCell ref="B862:C862"/>
    <mergeCell ref="B873:C873"/>
    <mergeCell ref="D873:G874"/>
    <mergeCell ref="B925:C926"/>
    <mergeCell ref="M943:O943"/>
    <mergeCell ref="F940:L940"/>
    <mergeCell ref="M940:O940"/>
    <mergeCell ref="F941:L941"/>
    <mergeCell ref="M941:O941"/>
    <mergeCell ref="F942:L942"/>
    <mergeCell ref="M942:O942"/>
    <mergeCell ref="M919:O919"/>
    <mergeCell ref="M921:O921"/>
    <mergeCell ref="M922:O922"/>
    <mergeCell ref="M920:O920"/>
    <mergeCell ref="F939:L939"/>
    <mergeCell ref="M939:O939"/>
    <mergeCell ref="M929:O929"/>
    <mergeCell ref="M930:O930"/>
    <mergeCell ref="H921:L923"/>
    <mergeCell ref="F943:L943"/>
    <mergeCell ref="M934:O934"/>
    <mergeCell ref="M923:O923"/>
    <mergeCell ref="D925:O926"/>
    <mergeCell ref="M927:O927"/>
    <mergeCell ref="M928:O928"/>
    <mergeCell ref="M931:O931"/>
    <mergeCell ref="M932:O932"/>
    <mergeCell ref="K633:N634"/>
    <mergeCell ref="B671:C671"/>
    <mergeCell ref="D671:H672"/>
    <mergeCell ref="B672:C672"/>
    <mergeCell ref="B633:C633"/>
    <mergeCell ref="B634:C634"/>
    <mergeCell ref="B706:C706"/>
    <mergeCell ref="D706:H707"/>
    <mergeCell ref="B707:C707"/>
    <mergeCell ref="D633:H634"/>
    <mergeCell ref="H659:H660"/>
    <mergeCell ref="D713:G714"/>
    <mergeCell ref="B714:C714"/>
    <mergeCell ref="BA2:BB2"/>
    <mergeCell ref="D512:G513"/>
    <mergeCell ref="H512:H513"/>
    <mergeCell ref="B512:C512"/>
    <mergeCell ref="B513:C513"/>
    <mergeCell ref="H254:H255"/>
    <mergeCell ref="B584:C584"/>
    <mergeCell ref="D584:H585"/>
    <mergeCell ref="B377:C377"/>
    <mergeCell ref="B255:C255"/>
    <mergeCell ref="D254:G255"/>
    <mergeCell ref="B254:C254"/>
    <mergeCell ref="B507:C507"/>
    <mergeCell ref="D494:H495"/>
    <mergeCell ref="B276:C276"/>
    <mergeCell ref="D276:G277"/>
    <mergeCell ref="B508:C508"/>
    <mergeCell ref="D507:H508"/>
    <mergeCell ref="B502:C502"/>
    <mergeCell ref="B503:C503"/>
    <mergeCell ref="B494:C494"/>
    <mergeCell ref="B495:C495"/>
    <mergeCell ref="B74:C74"/>
    <mergeCell ref="B73:C73"/>
    <mergeCell ref="B602:C602"/>
    <mergeCell ref="D602:G603"/>
    <mergeCell ref="D617:G618"/>
    <mergeCell ref="H617:H618"/>
    <mergeCell ref="B618:C618"/>
    <mergeCell ref="B617:C617"/>
    <mergeCell ref="BG2:BH2"/>
    <mergeCell ref="E4:K4"/>
    <mergeCell ref="E5:G5"/>
    <mergeCell ref="I5:O5"/>
    <mergeCell ref="B16:H17"/>
    <mergeCell ref="J16:M16"/>
    <mergeCell ref="N16:O17"/>
    <mergeCell ref="J17:M17"/>
    <mergeCell ref="J18:M18"/>
    <mergeCell ref="B6:D6"/>
    <mergeCell ref="B12:O12"/>
    <mergeCell ref="J13:M13"/>
    <mergeCell ref="J14:M14"/>
    <mergeCell ref="N14:O15"/>
    <mergeCell ref="J15:M15"/>
    <mergeCell ref="B2:K3"/>
    <mergeCell ref="AO2:AP2"/>
    <mergeCell ref="D34:L34"/>
    <mergeCell ref="B944:O950"/>
    <mergeCell ref="B696:C696"/>
    <mergeCell ref="H695:H696"/>
    <mergeCell ref="D695:G696"/>
    <mergeCell ref="B695:C695"/>
    <mergeCell ref="D48:O48"/>
    <mergeCell ref="H276:H277"/>
    <mergeCell ref="B277:C277"/>
    <mergeCell ref="B294:C294"/>
    <mergeCell ref="D294:G295"/>
    <mergeCell ref="H294:H295"/>
    <mergeCell ref="B295:C295"/>
    <mergeCell ref="B376:C376"/>
    <mergeCell ref="D376:G377"/>
    <mergeCell ref="H376:H377"/>
    <mergeCell ref="D502:M503"/>
    <mergeCell ref="B585:C585"/>
    <mergeCell ref="H673:I673"/>
    <mergeCell ref="B659:C660"/>
    <mergeCell ref="D659:G660"/>
    <mergeCell ref="I671:M672"/>
    <mergeCell ref="H602:H603"/>
    <mergeCell ref="B603:C603"/>
    <mergeCell ref="D73:G74"/>
    <mergeCell ref="H30:O30"/>
    <mergeCell ref="B21:C22"/>
    <mergeCell ref="D21:O22"/>
    <mergeCell ref="H23:O23"/>
    <mergeCell ref="H24:O24"/>
    <mergeCell ref="H27:O27"/>
    <mergeCell ref="H28:O28"/>
    <mergeCell ref="H29:O29"/>
    <mergeCell ref="H25:O25"/>
    <mergeCell ref="H26:O26"/>
    <mergeCell ref="H73:H74"/>
    <mergeCell ref="D35:L35"/>
    <mergeCell ref="B32:C33"/>
    <mergeCell ref="M32:O33"/>
    <mergeCell ref="M35:O35"/>
    <mergeCell ref="D32:L33"/>
    <mergeCell ref="M34:O34"/>
    <mergeCell ref="D46:O46"/>
    <mergeCell ref="D56:H57"/>
    <mergeCell ref="D36:L36"/>
    <mergeCell ref="D37:L37"/>
    <mergeCell ref="D38:L38"/>
    <mergeCell ref="D43:O43"/>
    <mergeCell ref="D44:O44"/>
    <mergeCell ref="B41:C42"/>
    <mergeCell ref="D49:O49"/>
    <mergeCell ref="B56:C57"/>
    <mergeCell ref="D45:O45"/>
    <mergeCell ref="D47:O47"/>
    <mergeCell ref="D50:O50"/>
    <mergeCell ref="M36:O36"/>
    <mergeCell ref="M37:O37"/>
    <mergeCell ref="M38:O38"/>
    <mergeCell ref="B40:C40"/>
    <mergeCell ref="D40:O42"/>
  </mergeCells>
  <phoneticPr fontId="100" type="noConversion"/>
  <conditionalFormatting sqref="N635:N638 N643:N705 J643:J670 J39:J42 J673:J705 J504:J506 N512:N537 J512:J537 J788:J883 J712:J786 N788:N883 J395:J403 N395:N403 J565:J638 N565:N632 N405:N418 J405:J418 N32:N42 J52:J393 N52:N393 J500:J501 N500:N506 N712:N786 J420:J498 N420:N498 J539:J563 N539:N563">
    <cfRule type="cellIs" dxfId="32" priority="130" stopIfTrue="1" operator="equal">
      <formula>0</formula>
    </cfRule>
  </conditionalFormatting>
  <conditionalFormatting sqref="A11:C11 A12:B15 C13 A16:A20 S11:U22 S31:U31">
    <cfRule type="expression" dxfId="31" priority="119" stopIfTrue="1">
      <formula>#REF!="Off"</formula>
    </cfRule>
  </conditionalFormatting>
  <conditionalFormatting sqref="B657:C657">
    <cfRule type="expression" dxfId="30" priority="126" stopIfTrue="1">
      <formula>#REF!="Off"</formula>
    </cfRule>
  </conditionalFormatting>
  <conditionalFormatting sqref="B669:C669">
    <cfRule type="expression" dxfId="29" priority="127" stopIfTrue="1">
      <formula>#REF!="Off"</formula>
    </cfRule>
  </conditionalFormatting>
  <conditionalFormatting sqref="B871:C871 B883:C883">
    <cfRule type="expression" dxfId="28" priority="128" stopIfTrue="1">
      <formula>#REF!="Off"</formula>
    </cfRule>
  </conditionalFormatting>
  <conditionalFormatting sqref="B894:C894">
    <cfRule type="expression" dxfId="27" priority="129" stopIfTrue="1">
      <formula>#REF!="Off"</formula>
    </cfRule>
  </conditionalFormatting>
  <conditionalFormatting sqref="B75:C251 B58:C71 C72 B256:C273 B278:B291 B296:C373 B504:C504 B514:C581 B586:C599 B604:B614 B619:C630 B637:C637 B643:C649 B651:C656 B674:C692 B697:B703 B715:C722 B728:B734 B792:B829 B834:C836 B841 B845:B849 B854:C858 B863:C870 B875:B882 B888:C893 B898:C909 B914:C923 B927:C935 B661:B668 B378:C491 B739:C786">
    <cfRule type="expression" dxfId="26" priority="120" stopIfTrue="1">
      <formula>P58=0</formula>
    </cfRule>
  </conditionalFormatting>
  <conditionalFormatting sqref="M32 J52:J55 N52:N55">
    <cfRule type="cellIs" dxfId="25" priority="117" operator="equal">
      <formula>0</formula>
    </cfRule>
  </conditionalFormatting>
  <conditionalFormatting sqref="B52:C53 B43:C50 B54:B55 B27:B30">
    <cfRule type="expression" dxfId="24" priority="91">
      <formula>#REF!=0</formula>
    </cfRule>
  </conditionalFormatting>
  <conditionalFormatting sqref="J18:M18">
    <cfRule type="dataBar" priority="82">
      <dataBar>
        <cfvo type="num" val="0"/>
        <cfvo type="num" val="0.2"/>
        <color rgb="FF63C384"/>
      </dataBar>
      <extLst>
        <ext xmlns:x14="http://schemas.microsoft.com/office/spreadsheetml/2009/9/main" uri="{B025F937-C7B1-47D3-B67F-A62EFF666E3E}">
          <x14:id>{0066B8F5-80B5-42CC-B2D7-70E7883FBBD4}</x14:id>
        </ext>
      </extLst>
    </cfRule>
  </conditionalFormatting>
  <conditionalFormatting sqref="J17:M17">
    <cfRule type="dataBar" priority="81">
      <dataBar>
        <cfvo type="num" val="0"/>
        <cfvo type="num" val="0.2"/>
        <color rgb="FF63C384"/>
      </dataBar>
      <extLst>
        <ext xmlns:x14="http://schemas.microsoft.com/office/spreadsheetml/2009/9/main" uri="{B025F937-C7B1-47D3-B67F-A62EFF666E3E}">
          <x14:id>{BEE440B0-C0A8-417E-B111-3FC960FF81AE}</x14:id>
        </ext>
      </extLst>
    </cfRule>
  </conditionalFormatting>
  <conditionalFormatting sqref="J16:M16">
    <cfRule type="dataBar" priority="75">
      <dataBar>
        <cfvo type="num" val="0"/>
        <cfvo type="num" val="0.2"/>
        <color rgb="FF63C384"/>
      </dataBar>
      <extLst>
        <ext xmlns:x14="http://schemas.microsoft.com/office/spreadsheetml/2009/9/main" uri="{B025F937-C7B1-47D3-B67F-A62EFF666E3E}">
          <x14:id>{F4082867-DE23-4B90-BB6B-C9306C0B2164}</x14:id>
        </ext>
      </extLst>
    </cfRule>
  </conditionalFormatting>
  <conditionalFormatting sqref="J15:M15">
    <cfRule type="dataBar" priority="76">
      <dataBar>
        <cfvo type="num" val="0"/>
        <cfvo type="num" val="0.2"/>
        <color rgb="FF63C384"/>
      </dataBar>
      <extLst>
        <ext xmlns:x14="http://schemas.microsoft.com/office/spreadsheetml/2009/9/main" uri="{B025F937-C7B1-47D3-B67F-A62EFF666E3E}">
          <x14:id>{66938E3D-A41C-4775-869F-5609758F4FDD}</x14:id>
        </ext>
      </extLst>
    </cfRule>
  </conditionalFormatting>
  <conditionalFormatting sqref="J14:M14">
    <cfRule type="dataBar" priority="77">
      <dataBar>
        <cfvo type="num" val="0"/>
        <cfvo type="num" val="0.2"/>
        <color rgb="FF63C384"/>
      </dataBar>
      <extLst>
        <ext xmlns:x14="http://schemas.microsoft.com/office/spreadsheetml/2009/9/main" uri="{B025F937-C7B1-47D3-B67F-A62EFF666E3E}">
          <x14:id>{227F9CDE-E012-42CF-AFA6-25C93DA228F3}</x14:id>
        </ext>
      </extLst>
    </cfRule>
  </conditionalFormatting>
  <conditionalFormatting sqref="N640:N642 J640:J642">
    <cfRule type="cellIs" dxfId="23" priority="74" stopIfTrue="1" operator="equal">
      <formula>0</formula>
    </cfRule>
  </conditionalFormatting>
  <conditionalFormatting sqref="B640:C642">
    <cfRule type="expression" dxfId="22" priority="73" stopIfTrue="1">
      <formula>P640=0</formula>
    </cfRule>
  </conditionalFormatting>
  <conditionalFormatting sqref="N639 J639">
    <cfRule type="cellIs" dxfId="21" priority="71" stopIfTrue="1" operator="equal">
      <formula>0</formula>
    </cfRule>
  </conditionalFormatting>
  <conditionalFormatting sqref="B639:C639">
    <cfRule type="expression" dxfId="20" priority="70" stopIfTrue="1">
      <formula>P639=0</formula>
    </cfRule>
  </conditionalFormatting>
  <conditionalFormatting sqref="J51 N51">
    <cfRule type="cellIs" dxfId="19" priority="52" stopIfTrue="1" operator="equal">
      <formula>0</formula>
    </cfRule>
  </conditionalFormatting>
  <conditionalFormatting sqref="N51 J51">
    <cfRule type="cellIs" dxfId="18" priority="51" operator="equal">
      <formula>0</formula>
    </cfRule>
  </conditionalFormatting>
  <conditionalFormatting sqref="B51:C51">
    <cfRule type="expression" dxfId="17" priority="50">
      <formula>#REF!=0</formula>
    </cfRule>
  </conditionalFormatting>
  <conditionalFormatting sqref="J509:J511 N507:N511">
    <cfRule type="cellIs" dxfId="16" priority="48" stopIfTrue="1" operator="equal">
      <formula>0</formula>
    </cfRule>
  </conditionalFormatting>
  <conditionalFormatting sqref="B509:C509">
    <cfRule type="expression" dxfId="15" priority="47" stopIfTrue="1">
      <formula>P509=0</formula>
    </cfRule>
  </conditionalFormatting>
  <conditionalFormatting sqref="J708:J711 N708:N711">
    <cfRule type="cellIs" dxfId="14" priority="44" stopIfTrue="1" operator="equal">
      <formula>0</formula>
    </cfRule>
  </conditionalFormatting>
  <conditionalFormatting sqref="N706:N707 J706:J707">
    <cfRule type="cellIs" dxfId="13" priority="43" stopIfTrue="1" operator="equal">
      <formula>0</formula>
    </cfRule>
  </conditionalFormatting>
  <conditionalFormatting sqref="N394 J394">
    <cfRule type="cellIs" dxfId="12" priority="40" stopIfTrue="1" operator="equal">
      <formula>0</formula>
    </cfRule>
  </conditionalFormatting>
  <conditionalFormatting sqref="N564 J564">
    <cfRule type="cellIs" dxfId="11" priority="38" stopIfTrue="1" operator="equal">
      <formula>0</formula>
    </cfRule>
  </conditionalFormatting>
  <conditionalFormatting sqref="N404 J404">
    <cfRule type="cellIs" dxfId="10" priority="36" stopIfTrue="1" operator="equal">
      <formula>0</formula>
    </cfRule>
  </conditionalFormatting>
  <conditionalFormatting sqref="B23:B25">
    <cfRule type="expression" dxfId="9" priority="29">
      <formula>#REF!=0</formula>
    </cfRule>
  </conditionalFormatting>
  <conditionalFormatting sqref="B499">
    <cfRule type="expression" dxfId="8" priority="10" stopIfTrue="1">
      <formula>P499=0</formula>
    </cfRule>
  </conditionalFormatting>
  <conditionalFormatting sqref="B26">
    <cfRule type="expression" dxfId="7" priority="8" stopIfTrue="1">
      <formula>P26=0</formula>
    </cfRule>
  </conditionalFormatting>
  <conditionalFormatting sqref="J419 N419">
    <cfRule type="cellIs" dxfId="6" priority="6" stopIfTrue="1" operator="equal">
      <formula>0</formula>
    </cfRule>
  </conditionalFormatting>
  <conditionalFormatting sqref="J538 N538">
    <cfRule type="cellIs" dxfId="5" priority="3" stopIfTrue="1" operator="equal">
      <formula>0</formula>
    </cfRule>
  </conditionalFormatting>
  <pageMargins left="0.31496062992125984" right="0.31496062992125984" top="0.15748031496062992" bottom="0.15748031496062992" header="0.15748031496062992" footer="0"/>
  <pageSetup paperSize="9" fitToWidth="0" fitToHeight="0" orientation="portrait" horizontalDpi="1200" verticalDpi="1200" r:id="rId1"/>
  <headerFooter>
    <oddHeader xml:space="preserve">&amp;RPage &amp;P of &amp;N                       .         </oddHeader>
  </headerFooter>
  <rowBreaks count="5" manualBreakCount="5">
    <brk id="54" min="1" max="14" man="1"/>
    <brk id="293" min="1" max="14" man="1"/>
    <brk id="501" min="1" max="14" man="1"/>
    <brk id="616" min="1" max="14" man="1"/>
    <brk id="789" min="1" max="14" man="1"/>
  </rowBreaks>
  <drawing r:id="rId2"/>
  <extLst>
    <ext xmlns:x14="http://schemas.microsoft.com/office/spreadsheetml/2009/9/main" uri="{78C0D931-6437-407d-A8EE-F0AAD7539E65}">
      <x14:conditionalFormattings>
        <x14:conditionalFormatting xmlns:xm="http://schemas.microsoft.com/office/excel/2006/main">
          <x14:cfRule type="dataBar" id="{0066B8F5-80B5-42CC-B2D7-70E7883FBBD4}">
            <x14:dataBar minLength="0" maxLength="100" border="1" gradient="0" negativeBarBorderColorSameAsPositive="0">
              <x14:cfvo type="num">
                <xm:f>0</xm:f>
              </x14:cfvo>
              <x14:cfvo type="num">
                <xm:f>0.2</xm:f>
              </x14:cfvo>
              <x14:borderColor rgb="FF63C384"/>
              <x14:negativeFillColor rgb="FFFF0000"/>
              <x14:negativeBorderColor rgb="FFFF0000"/>
              <x14:axisColor rgb="FF000000"/>
            </x14:dataBar>
          </x14:cfRule>
          <xm:sqref>J18:M18</xm:sqref>
        </x14:conditionalFormatting>
        <x14:conditionalFormatting xmlns:xm="http://schemas.microsoft.com/office/excel/2006/main">
          <x14:cfRule type="dataBar" id="{BEE440B0-C0A8-417E-B111-3FC960FF81AE}">
            <x14:dataBar minLength="0" maxLength="100" border="1" gradient="0" negativeBarBorderColorSameAsPositive="0">
              <x14:cfvo type="num">
                <xm:f>0</xm:f>
              </x14:cfvo>
              <x14:cfvo type="num">
                <xm:f>0.2</xm:f>
              </x14:cfvo>
              <x14:borderColor rgb="FF63C384"/>
              <x14:negativeFillColor rgb="FFFF0000"/>
              <x14:negativeBorderColor rgb="FFFF0000"/>
              <x14:axisColor rgb="FF000000"/>
            </x14:dataBar>
          </x14:cfRule>
          <xm:sqref>J17:M17</xm:sqref>
        </x14:conditionalFormatting>
        <x14:conditionalFormatting xmlns:xm="http://schemas.microsoft.com/office/excel/2006/main">
          <x14:cfRule type="dataBar" id="{F4082867-DE23-4B90-BB6B-C9306C0B2164}">
            <x14:dataBar minLength="0" maxLength="100" gradient="0">
              <x14:cfvo type="num">
                <xm:f>0</xm:f>
              </x14:cfvo>
              <x14:cfvo type="num">
                <xm:f>0.2</xm:f>
              </x14:cfvo>
              <x14:negativeFillColor rgb="FFFF0000"/>
              <x14:axisColor rgb="FF000000"/>
            </x14:dataBar>
          </x14:cfRule>
          <xm:sqref>J16:M16</xm:sqref>
        </x14:conditionalFormatting>
        <x14:conditionalFormatting xmlns:xm="http://schemas.microsoft.com/office/excel/2006/main">
          <x14:cfRule type="dataBar" id="{66938E3D-A41C-4775-869F-5609758F4FDD}">
            <x14:dataBar minLength="0" maxLength="100" gradient="0">
              <x14:cfvo type="num">
                <xm:f>0</xm:f>
              </x14:cfvo>
              <x14:cfvo type="num">
                <xm:f>0.2</xm:f>
              </x14:cfvo>
              <x14:negativeFillColor rgb="FFFF0000"/>
              <x14:axisColor rgb="FF000000"/>
            </x14:dataBar>
          </x14:cfRule>
          <xm:sqref>J15:M15</xm:sqref>
        </x14:conditionalFormatting>
        <x14:conditionalFormatting xmlns:xm="http://schemas.microsoft.com/office/excel/2006/main">
          <x14:cfRule type="dataBar" id="{227F9CDE-E012-42CF-AFA6-25C93DA228F3}">
            <x14:dataBar minLength="0" maxLength="100" gradient="0">
              <x14:cfvo type="num">
                <xm:f>0</xm:f>
              </x14:cfvo>
              <x14:cfvo type="num">
                <xm:f>0.2</xm:f>
              </x14:cfvo>
              <x14:negativeFillColor rgb="FFFF0000"/>
              <x14:axisColor rgb="FF000000"/>
            </x14:dataBar>
          </x14:cfRule>
          <xm:sqref>J14:M14</xm:sqref>
        </x14:conditionalFormatting>
        <x14:conditionalFormatting xmlns:xm="http://schemas.microsoft.com/office/excel/2006/main">
          <x14:cfRule type="iconSet" priority="177" id="{7B6D659E-592E-425B-A9C1-96C628276EA6}">
            <x14:iconSet iconSet="3Stars" custom="1">
              <x14:cfvo type="percent">
                <xm:f>0</xm:f>
              </x14:cfvo>
              <x14:cfvo type="num">
                <xm:f>0</xm:f>
              </x14:cfvo>
              <x14:cfvo type="num">
                <xm:f>1</xm:f>
              </x14:cfvo>
              <x14:cfIcon iconSet="NoIcons" iconId="0"/>
              <x14:cfIcon iconSet="NoIcons" iconId="0"/>
              <x14:cfIcon iconSet="3Stars" iconId="2"/>
            </x14:iconSet>
          </x14:cfRule>
          <xm:sqref>L52:L53</xm:sqref>
        </x14:conditionalFormatting>
        <x14:conditionalFormatting xmlns:xm="http://schemas.microsoft.com/office/excel/2006/main">
          <x14:cfRule type="iconSet" priority="179" id="{A43A8BB7-D8CE-4D6F-90F6-D062B669E7C4}">
            <x14:iconSet iconSet="3Stars" custom="1">
              <x14:cfvo type="percent">
                <xm:f>0</xm:f>
              </x14:cfvo>
              <x14:cfvo type="num">
                <xm:f>0</xm:f>
              </x14:cfvo>
              <x14:cfvo type="num">
                <xm:f>1</xm:f>
              </x14:cfvo>
              <x14:cfIcon iconSet="NoIcons" iconId="0"/>
              <x14:cfIcon iconSet="NoIcons" iconId="0"/>
              <x14:cfIcon iconSet="3Stars" iconId="2"/>
            </x14:iconSet>
          </x14:cfRule>
          <xm:sqref>K52:K53</xm:sqref>
        </x14:conditionalFormatting>
        <x14:conditionalFormatting xmlns:xm="http://schemas.microsoft.com/office/excel/2006/main">
          <x14:cfRule type="iconSet" priority="49" id="{D97A5C09-D70A-48E6-A6B6-5DA90013EA1D}">
            <x14:iconSet iconSet="3Stars" custom="1">
              <x14:cfvo type="percent">
                <xm:f>0</xm:f>
              </x14:cfvo>
              <x14:cfvo type="num">
                <xm:f>0</xm:f>
              </x14:cfvo>
              <x14:cfvo type="num">
                <xm:f>1</xm:f>
              </x14:cfvo>
              <x14:cfIcon iconSet="NoIcons" iconId="0"/>
              <x14:cfIcon iconSet="NoIcons" iconId="0"/>
              <x14:cfIcon iconSet="3Stars" iconId="2"/>
            </x14:iconSet>
          </x14:cfRule>
          <xm:sqref>K51:L51</xm:sqref>
        </x14:conditionalFormatting>
        <x14:conditionalFormatting xmlns:xm="http://schemas.microsoft.com/office/excel/2006/main">
          <x14:cfRule type="iconSet" priority="53" id="{CA6C51F1-2E1D-4339-AF11-ECEB9867AFE1}">
            <x14:iconSet iconSet="3Stars" custom="1">
              <x14:cfvo type="percent">
                <xm:f>0</xm:f>
              </x14:cfvo>
              <x14:cfvo type="num">
                <xm:f>0</xm:f>
              </x14:cfvo>
              <x14:cfvo type="num">
                <xm:f>1</xm:f>
              </x14:cfvo>
              <x14:cfIcon iconSet="NoIcons" iconId="0"/>
              <x14:cfIcon iconSet="NoIcons" iconId="0"/>
              <x14:cfIcon iconSet="3Stars" iconId="2"/>
            </x14:iconSet>
          </x14:cfRule>
          <xm:sqref>L51</xm:sqref>
        </x14:conditionalFormatting>
        <x14:conditionalFormatting xmlns:xm="http://schemas.microsoft.com/office/excel/2006/main">
          <x14:cfRule type="iconSet" priority="54" id="{AF521375-1FD2-4B71-913C-F2767091E85F}">
            <x14:iconSet iconSet="3Stars" custom="1">
              <x14:cfvo type="percent">
                <xm:f>0</xm:f>
              </x14:cfvo>
              <x14:cfvo type="num">
                <xm:f>0</xm:f>
              </x14:cfvo>
              <x14:cfvo type="num">
                <xm:f>1</xm:f>
              </x14:cfvo>
              <x14:cfIcon iconSet="NoIcons" iconId="0"/>
              <x14:cfIcon iconSet="NoIcons" iconId="0"/>
              <x14:cfIcon iconSet="3Stars" iconId="2"/>
            </x14:iconSet>
          </x14:cfRule>
          <xm:sqref>K51</xm:sqref>
        </x14:conditionalFormatting>
        <x14:conditionalFormatting xmlns:xm="http://schemas.microsoft.com/office/excel/2006/main">
          <x14:cfRule type="iconSet" priority="26" id="{C680776E-C879-4B29-BE74-0F86624595D2}">
            <x14:iconSet iconSet="3Stars" custom="1">
              <x14:cfvo type="percent">
                <xm:f>0</xm:f>
              </x14:cfvo>
              <x14:cfvo type="num">
                <xm:f>0</xm:f>
              </x14:cfvo>
              <x14:cfvo type="num">
                <xm:f>1</xm:f>
              </x14:cfvo>
              <x14:cfIcon iconSet="NoIcons" iconId="0"/>
              <x14:cfIcon iconSet="NoIcons" iconId="0"/>
              <x14:cfIcon iconSet="3Stars" iconId="2"/>
            </x14:iconSet>
          </x14:cfRule>
          <xm:sqref>K505:K513 L639 K500:K503 K582:K881 K75:K495</xm:sqref>
        </x14:conditionalFormatting>
        <x14:conditionalFormatting xmlns:xm="http://schemas.microsoft.com/office/excel/2006/main">
          <x14:cfRule type="iconSet" priority="41" id="{BB81CCF4-B268-46A4-9C56-6FC58D57CBC9}">
            <x14:iconSet iconSet="3Stars" custom="1">
              <x14:cfvo type="percent">
                <xm:f>0</xm:f>
              </x14:cfvo>
              <x14:cfvo type="num">
                <xm:f>0</xm:f>
              </x14:cfvo>
              <x14:cfvo type="num">
                <xm:f>1</xm:f>
              </x14:cfvo>
              <x14:cfIcon iconSet="NoIcons" iconId="0"/>
              <x14:cfIcon iconSet="NoIcons" iconId="0"/>
              <x14:cfIcon iconSet="3Stars" iconId="2"/>
            </x14:iconSet>
          </x14:cfRule>
          <xm:sqref>L394</xm:sqref>
        </x14:conditionalFormatting>
        <x14:conditionalFormatting xmlns:xm="http://schemas.microsoft.com/office/excel/2006/main">
          <x14:cfRule type="iconSet" priority="255" id="{E9C7EE90-9AA0-4530-9717-91BEDFF5ADE1}">
            <x14:iconSet iconSet="3Stars" custom="1">
              <x14:cfvo type="percent">
                <xm:f>0</xm:f>
              </x14:cfvo>
              <x14:cfvo type="num">
                <xm:f>0</xm:f>
              </x14:cfvo>
              <x14:cfvo type="num">
                <xm:f>1</xm:f>
              </x14:cfvo>
              <x14:cfIcon iconSet="NoIcons" iconId="0"/>
              <x14:cfIcon iconSet="NoIcons" iconId="0"/>
              <x14:cfIcon iconSet="3Stars" iconId="2"/>
            </x14:iconSet>
          </x14:cfRule>
          <xm:sqref>K54:K55</xm:sqref>
        </x14:conditionalFormatting>
        <x14:conditionalFormatting xmlns:xm="http://schemas.microsoft.com/office/excel/2006/main">
          <x14:cfRule type="iconSet" priority="257" id="{36ED2227-C7F3-48B6-A7A6-F01BB599520F}">
            <x14:iconSet iconSet="3Stars" custom="1">
              <x14:cfvo type="percent">
                <xm:f>0</xm:f>
              </x14:cfvo>
              <x14:cfvo type="num">
                <xm:f>0</xm:f>
              </x14:cfvo>
              <x14:cfvo type="num">
                <xm:f>1</xm:f>
              </x14:cfvo>
              <x14:cfIcon iconSet="NoIcons" iconId="0"/>
              <x14:cfIcon iconSet="NoIcons" iconId="0"/>
              <x14:cfIcon iconSet="3Stars" iconId="2"/>
            </x14:iconSet>
          </x14:cfRule>
          <xm:sqref>L54:L55</xm:sqref>
        </x14:conditionalFormatting>
        <x14:conditionalFormatting xmlns:xm="http://schemas.microsoft.com/office/excel/2006/main">
          <x14:cfRule type="iconSet" priority="182" id="{FF9B2BF1-D111-49DC-B069-F1019623E3AD}">
            <x14:iconSet iconSet="3Stars" custom="1">
              <x14:cfvo type="percent">
                <xm:f>0</xm:f>
              </x14:cfvo>
              <x14:cfvo type="num">
                <xm:f>0</xm:f>
              </x14:cfvo>
              <x14:cfvo type="num">
                <xm:f>1</xm:f>
              </x14:cfvo>
              <x14:cfIcon iconSet="NoIcons" iconId="0"/>
              <x14:cfIcon iconSet="NoIcons" iconId="0"/>
              <x14:cfIcon iconSet="3Stars" iconId="2"/>
            </x14:iconSet>
          </x14:cfRule>
          <xm:sqref>L505:L513 L582:L638 L500:L503 L640:L881 L75:L312 L314:L495</xm:sqref>
        </x14:conditionalFormatting>
        <x14:conditionalFormatting xmlns:xm="http://schemas.microsoft.com/office/excel/2006/main">
          <x14:cfRule type="iconSet" priority="24" id="{8C78A660-4333-4AEE-B6EB-0FBBA53ABB0E}">
            <x14:iconSet iconSet="3Stars" custom="1">
              <x14:cfvo type="percent">
                <xm:f>0</xm:f>
              </x14:cfvo>
              <x14:cfvo type="num">
                <xm:f>0</xm:f>
              </x14:cfvo>
              <x14:cfvo type="num">
                <xm:f>1</xm:f>
              </x14:cfvo>
              <x14:cfIcon iconSet="NoIcons" iconId="0"/>
              <x14:cfIcon iconSet="NoIcons" iconId="0"/>
              <x14:cfIcon iconSet="3Stars" iconId="2"/>
            </x14:iconSet>
          </x14:cfRule>
          <xm:sqref>K496:K499</xm:sqref>
        </x14:conditionalFormatting>
        <x14:conditionalFormatting xmlns:xm="http://schemas.microsoft.com/office/excel/2006/main">
          <x14:cfRule type="iconSet" priority="25" id="{89A4F54C-DD06-47F2-B704-CD8E22A0233E}">
            <x14:iconSet iconSet="3Stars" custom="1">
              <x14:cfvo type="percent">
                <xm:f>0</xm:f>
              </x14:cfvo>
              <x14:cfvo type="num">
                <xm:f>0</xm:f>
              </x14:cfvo>
              <x14:cfvo type="num">
                <xm:f>1</xm:f>
              </x14:cfvo>
              <x14:cfIcon iconSet="NoIcons" iconId="0"/>
              <x14:cfIcon iconSet="NoIcons" iconId="0"/>
              <x14:cfIcon iconSet="3Stars" iconId="2"/>
            </x14:iconSet>
          </x14:cfRule>
          <xm:sqref>L496:L499</xm:sqref>
        </x14:conditionalFormatting>
        <x14:conditionalFormatting xmlns:xm="http://schemas.microsoft.com/office/excel/2006/main">
          <x14:cfRule type="iconSet" priority="22" id="{FA275EE2-9053-4BEA-828E-54708BE5AA98}">
            <x14:iconSet iconSet="3Stars" custom="1">
              <x14:cfvo type="percent">
                <xm:f>0</xm:f>
              </x14:cfvo>
              <x14:cfvo type="num">
                <xm:f>0</xm:f>
              </x14:cfvo>
              <x14:cfvo type="num">
                <xm:f>1</xm:f>
              </x14:cfvo>
              <x14:cfIcon iconSet="NoIcons" iconId="0"/>
              <x14:cfIcon iconSet="NoIcons" iconId="0"/>
              <x14:cfIcon iconSet="3Stars" iconId="2"/>
            </x14:iconSet>
          </x14:cfRule>
          <xm:sqref>K504</xm:sqref>
        </x14:conditionalFormatting>
        <x14:conditionalFormatting xmlns:xm="http://schemas.microsoft.com/office/excel/2006/main">
          <x14:cfRule type="iconSet" priority="23" id="{ADBE12C0-AC2F-49EF-8859-C6CB259C0403}">
            <x14:iconSet iconSet="3Stars" custom="1">
              <x14:cfvo type="percent">
                <xm:f>0</xm:f>
              </x14:cfvo>
              <x14:cfvo type="num">
                <xm:f>0</xm:f>
              </x14:cfvo>
              <x14:cfvo type="num">
                <xm:f>1</xm:f>
              </x14:cfvo>
              <x14:cfIcon iconSet="NoIcons" iconId="0"/>
              <x14:cfIcon iconSet="NoIcons" iconId="0"/>
              <x14:cfIcon iconSet="3Stars" iconId="2"/>
            </x14:iconSet>
          </x14:cfRule>
          <xm:sqref>L504</xm:sqref>
        </x14:conditionalFormatting>
        <x14:conditionalFormatting xmlns:xm="http://schemas.microsoft.com/office/excel/2006/main">
          <x14:cfRule type="iconSet" priority="20" id="{48068642-5131-48D4-AC9B-C869EE1412BA}">
            <x14:iconSet iconSet="3Stars" custom="1">
              <x14:cfvo type="percent">
                <xm:f>0</xm:f>
              </x14:cfvo>
              <x14:cfvo type="num">
                <xm:f>0</xm:f>
              </x14:cfvo>
              <x14:cfvo type="num">
                <xm:f>1</xm:f>
              </x14:cfvo>
              <x14:cfIcon iconSet="NoIcons" iconId="0"/>
              <x14:cfIcon iconSet="NoIcons" iconId="0"/>
              <x14:cfIcon iconSet="3Stars" iconId="2"/>
            </x14:iconSet>
          </x14:cfRule>
          <xm:sqref>K514:K521</xm:sqref>
        </x14:conditionalFormatting>
        <x14:conditionalFormatting xmlns:xm="http://schemas.microsoft.com/office/excel/2006/main">
          <x14:cfRule type="iconSet" priority="21" id="{3FBD3367-F114-4DF4-8A71-BEFB07DCC836}">
            <x14:iconSet iconSet="3Stars" custom="1">
              <x14:cfvo type="percent">
                <xm:f>0</xm:f>
              </x14:cfvo>
              <x14:cfvo type="num">
                <xm:f>0</xm:f>
              </x14:cfvo>
              <x14:cfvo type="num">
                <xm:f>1</xm:f>
              </x14:cfvo>
              <x14:cfIcon iconSet="NoIcons" iconId="0"/>
              <x14:cfIcon iconSet="NoIcons" iconId="0"/>
              <x14:cfIcon iconSet="3Stars" iconId="2"/>
            </x14:iconSet>
          </x14:cfRule>
          <xm:sqref>L514:L521</xm:sqref>
        </x14:conditionalFormatting>
        <x14:conditionalFormatting xmlns:xm="http://schemas.microsoft.com/office/excel/2006/main">
          <x14:cfRule type="iconSet" priority="12" id="{397B62B8-709A-411E-ADA5-4849BED5768D}">
            <x14:iconSet iconSet="3Stars" custom="1">
              <x14:cfvo type="percent">
                <xm:f>0</xm:f>
              </x14:cfvo>
              <x14:cfvo type="num">
                <xm:f>0</xm:f>
              </x14:cfvo>
              <x14:cfvo type="num">
                <xm:f>1</xm:f>
              </x14:cfvo>
              <x14:cfIcon iconSet="NoIcons" iconId="0"/>
              <x14:cfIcon iconSet="NoIcons" iconId="0"/>
              <x14:cfIcon iconSet="3Stars" iconId="2"/>
            </x14:iconSet>
          </x14:cfRule>
          <xm:sqref>K522:K537 K539:K581</xm:sqref>
        </x14:conditionalFormatting>
        <x14:conditionalFormatting xmlns:xm="http://schemas.microsoft.com/office/excel/2006/main">
          <x14:cfRule type="iconSet" priority="13" id="{B8B5CE15-E693-4BFF-A3EC-A4D7B6659181}">
            <x14:iconSet iconSet="3Stars" custom="1">
              <x14:cfvo type="percent">
                <xm:f>0</xm:f>
              </x14:cfvo>
              <x14:cfvo type="num">
                <xm:f>0</xm:f>
              </x14:cfvo>
              <x14:cfvo type="num">
                <xm:f>1</xm:f>
              </x14:cfvo>
              <x14:cfIcon iconSet="NoIcons" iconId="0"/>
              <x14:cfIcon iconSet="NoIcons" iconId="0"/>
              <x14:cfIcon iconSet="3Stars" iconId="2"/>
            </x14:iconSet>
          </x14:cfRule>
          <xm:sqref>L522:L537 L539:L581</xm:sqref>
        </x14:conditionalFormatting>
        <x14:conditionalFormatting xmlns:xm="http://schemas.microsoft.com/office/excel/2006/main">
          <x14:cfRule type="iconSet" priority="2" id="{EC2A9B79-E41B-40B8-9BBA-1368E5977490}">
            <x14:iconSet iconSet="3Stars" custom="1">
              <x14:cfvo type="percent">
                <xm:f>0</xm:f>
              </x14:cfvo>
              <x14:cfvo type="num">
                <xm:f>0</xm:f>
              </x14:cfvo>
              <x14:cfvo type="num">
                <xm:f>1</xm:f>
              </x14:cfvo>
              <x14:cfIcon iconSet="NoIcons" iconId="0"/>
              <x14:cfIcon iconSet="NoIcons" iconId="0"/>
              <x14:cfIcon iconSet="3Stars" iconId="2"/>
            </x14:iconSet>
          </x14:cfRule>
          <xm:sqref>K538</xm:sqref>
        </x14:conditionalFormatting>
        <x14:conditionalFormatting xmlns:xm="http://schemas.microsoft.com/office/excel/2006/main">
          <x14:cfRule type="iconSet" priority="4" id="{9C9A2BEC-4230-49BE-9EB6-55A1F8044590}">
            <x14:iconSet iconSet="3Stars" custom="1">
              <x14:cfvo type="percent">
                <xm:f>0</xm:f>
              </x14:cfvo>
              <x14:cfvo type="num">
                <xm:f>0</xm:f>
              </x14:cfvo>
              <x14:cfvo type="num">
                <xm:f>1</xm:f>
              </x14:cfvo>
              <x14:cfIcon iconSet="NoIcons" iconId="0"/>
              <x14:cfIcon iconSet="NoIcons" iconId="0"/>
              <x14:cfIcon iconSet="3Stars" iconId="2"/>
            </x14:iconSet>
          </x14:cfRule>
          <xm:sqref>L538</xm:sqref>
        </x14:conditionalFormatting>
        <x14:conditionalFormatting xmlns:xm="http://schemas.microsoft.com/office/excel/2006/main">
          <x14:cfRule type="iconSet" priority="1" id="{1081569D-F4A8-498F-8214-0F2DC8B1B655}">
            <x14:iconSet iconSet="3Stars" custom="1">
              <x14:cfvo type="percent">
                <xm:f>0</xm:f>
              </x14:cfvo>
              <x14:cfvo type="num">
                <xm:f>0</xm:f>
              </x14:cfvo>
              <x14:cfvo type="num">
                <xm:f>1</xm:f>
              </x14:cfvo>
              <x14:cfIcon iconSet="NoIcons" iconId="0"/>
              <x14:cfIcon iconSet="NoIcons" iconId="0"/>
              <x14:cfIcon iconSet="3Stars" iconId="2"/>
            </x14:iconSet>
          </x14:cfRule>
          <xm:sqref>L313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86"/>
  <sheetViews>
    <sheetView workbookViewId="0">
      <selection activeCell="A42" sqref="A42"/>
    </sheetView>
  </sheetViews>
  <sheetFormatPr defaultColWidth="8.85546875" defaultRowHeight="13.5" x14ac:dyDescent="0.15"/>
  <cols>
    <col min="1" max="1" width="26.85546875" style="461" customWidth="1"/>
    <col min="2" max="2" width="44.5703125" style="461" bestFit="1" customWidth="1"/>
    <col min="3" max="3" width="7.42578125" style="461" customWidth="1"/>
    <col min="4" max="4" width="5.42578125" style="461" customWidth="1"/>
    <col min="5" max="6" width="3.85546875" style="461" customWidth="1"/>
    <col min="7" max="7" width="3.42578125" style="461" customWidth="1"/>
    <col min="8" max="8" width="25" style="461" bestFit="1" customWidth="1"/>
    <col min="9" max="9" width="8.85546875" style="461" customWidth="1"/>
    <col min="10" max="10" width="13.42578125" style="461" bestFit="1" customWidth="1"/>
    <col min="11" max="11" width="12.140625" style="461" customWidth="1"/>
    <col min="12" max="16384" width="8.85546875" style="461"/>
  </cols>
  <sheetData>
    <row r="1" spans="1:17" ht="15" customHeight="1" x14ac:dyDescent="0.15">
      <c r="A1" s="459" t="s">
        <v>1166</v>
      </c>
      <c r="B1" s="460">
        <f>Order!E4</f>
        <v>0</v>
      </c>
      <c r="C1" s="1313" t="str">
        <f>Order!G6</f>
        <v>13.09.2021</v>
      </c>
      <c r="D1" s="1313"/>
      <c r="H1" s="462"/>
      <c r="I1" s="462"/>
      <c r="J1" s="463"/>
      <c r="K1" s="463"/>
    </row>
    <row r="2" spans="1:17" x14ac:dyDescent="0.15">
      <c r="A2" s="464"/>
      <c r="D2" s="465"/>
      <c r="E2" s="466"/>
      <c r="H2" s="463"/>
      <c r="I2" s="463"/>
      <c r="J2" s="463"/>
      <c r="K2" s="463"/>
    </row>
    <row r="3" spans="1:17" ht="14.25" x14ac:dyDescent="0.15">
      <c r="A3" s="459"/>
      <c r="B3" s="460"/>
      <c r="D3" s="462"/>
      <c r="E3" s="462"/>
      <c r="H3" s="463"/>
      <c r="I3" s="463"/>
      <c r="J3" s="463"/>
      <c r="K3" s="463"/>
    </row>
    <row r="4" spans="1:17" x14ac:dyDescent="0.15">
      <c r="A4" s="467" t="s">
        <v>1167</v>
      </c>
      <c r="B4" s="467" t="s">
        <v>1168</v>
      </c>
      <c r="C4" s="1314" t="s">
        <v>1169</v>
      </c>
      <c r="D4" s="1314"/>
      <c r="E4" s="462"/>
      <c r="F4" s="462"/>
      <c r="G4" s="462"/>
      <c r="H4" s="462"/>
      <c r="I4" s="462"/>
      <c r="J4" s="462"/>
      <c r="K4" s="462"/>
      <c r="L4" s="462"/>
      <c r="M4" s="462"/>
      <c r="N4" s="462"/>
      <c r="O4" s="462"/>
      <c r="P4" s="462"/>
      <c r="Q4" s="462"/>
    </row>
    <row r="5" spans="1:17" x14ac:dyDescent="0.15">
      <c r="A5" s="468" t="e">
        <f>J5</f>
        <v>#N/A</v>
      </c>
      <c r="B5" s="469" t="e">
        <f>H5</f>
        <v>#N/A</v>
      </c>
      <c r="C5" s="470" t="e">
        <f>I5</f>
        <v>#N/A</v>
      </c>
      <c r="D5" s="471" t="e">
        <f>K5</f>
        <v>#N/A</v>
      </c>
      <c r="F5" s="462"/>
      <c r="G5" s="462"/>
      <c r="H5" s="462" t="e">
        <f>VLOOKUP(1,Order!A$23:T$1164,4,TRUE)</f>
        <v>#N/A</v>
      </c>
      <c r="I5" s="462" t="e">
        <f>VLOOKUP(1,Order!A$23:T$1164,2,TRUE)</f>
        <v>#N/A</v>
      </c>
      <c r="J5" s="462" t="e">
        <f>VLOOKUP(1,Order!A$23:T$1164,17,TRUE)</f>
        <v>#N/A</v>
      </c>
      <c r="K5" s="462" t="e">
        <f>VLOOKUP(1,Order!A$23:T$1164,3,TRUE)</f>
        <v>#N/A</v>
      </c>
      <c r="L5" s="462"/>
      <c r="M5" s="462"/>
      <c r="N5" s="462"/>
      <c r="O5" s="462"/>
      <c r="P5" s="462"/>
      <c r="Q5" s="462"/>
    </row>
    <row r="6" spans="1:17" x14ac:dyDescent="0.15">
      <c r="A6" s="468" t="e">
        <f t="shared" ref="A6:A37" si="0">IF(J6=0,"",IF(J6=J5,"",J6))</f>
        <v>#N/A</v>
      </c>
      <c r="B6" s="472" t="e">
        <f>IF(I6=H5,"",H6)</f>
        <v>#N/A</v>
      </c>
      <c r="C6" s="470" t="e">
        <f>IF(H6=H5,"",I6)</f>
        <v>#N/A</v>
      </c>
      <c r="D6" s="471" t="e">
        <f>IF(H6=H5,"",K6)</f>
        <v>#N/A</v>
      </c>
      <c r="F6" s="462"/>
      <c r="G6" s="462"/>
      <c r="H6" s="462" t="e">
        <f>VLOOKUP(2,Order!A$23:T$1164,4,TRUE)</f>
        <v>#N/A</v>
      </c>
      <c r="I6" s="462" t="e">
        <f>VLOOKUP(2,Order!A$23:T$1164,2,TRUE)</f>
        <v>#N/A</v>
      </c>
      <c r="J6" s="462" t="e">
        <f>VLOOKUP(2,Order!A$23:T$1164,17,TRUE)</f>
        <v>#N/A</v>
      </c>
      <c r="K6" s="462" t="e">
        <f>VLOOKUP(2,Order!A$23:T$1164,3,TRUE)</f>
        <v>#N/A</v>
      </c>
      <c r="L6" s="462"/>
      <c r="M6" s="462"/>
      <c r="N6" s="462"/>
      <c r="O6" s="462"/>
      <c r="P6" s="462"/>
      <c r="Q6" s="462"/>
    </row>
    <row r="7" spans="1:17" x14ac:dyDescent="0.15">
      <c r="A7" s="468" t="e">
        <f t="shared" si="0"/>
        <v>#N/A</v>
      </c>
      <c r="B7" s="472" t="e">
        <f t="shared" ref="B7:B37" si="1">IF(H7=H6,"",H7)</f>
        <v>#N/A</v>
      </c>
      <c r="C7" s="470" t="e">
        <f>IF(H7=H6,"",I7)</f>
        <v>#N/A</v>
      </c>
      <c r="D7" s="471" t="e">
        <f t="shared" ref="D7:D21" si="2">IF(H7=H6,"",K7)</f>
        <v>#N/A</v>
      </c>
      <c r="F7" s="462"/>
      <c r="G7" s="462"/>
      <c r="H7" s="462" t="e">
        <f>VLOOKUP(3,Order!A$23:T$1164,4,TRUE)</f>
        <v>#N/A</v>
      </c>
      <c r="I7" s="462" t="e">
        <f>VLOOKUP(3,Order!A$23:T$1164,2,TRUE)</f>
        <v>#N/A</v>
      </c>
      <c r="J7" s="462" t="e">
        <f>VLOOKUP(3,Order!A$23:T$1164,17,TRUE)</f>
        <v>#N/A</v>
      </c>
      <c r="K7" s="462" t="e">
        <f>VLOOKUP(3,Order!A$23:T$1164,3,TRUE)</f>
        <v>#N/A</v>
      </c>
      <c r="L7" s="462"/>
      <c r="M7" s="462"/>
      <c r="N7" s="462"/>
      <c r="O7" s="462"/>
      <c r="P7" s="462"/>
      <c r="Q7" s="462"/>
    </row>
    <row r="8" spans="1:17" x14ac:dyDescent="0.15">
      <c r="A8" s="468" t="e">
        <f t="shared" si="0"/>
        <v>#N/A</v>
      </c>
      <c r="B8" s="472" t="e">
        <f t="shared" si="1"/>
        <v>#N/A</v>
      </c>
      <c r="C8" s="470" t="e">
        <f>IF(H8=H7,"",I8)</f>
        <v>#N/A</v>
      </c>
      <c r="D8" s="471" t="e">
        <f t="shared" si="2"/>
        <v>#N/A</v>
      </c>
      <c r="F8" s="462"/>
      <c r="G8" s="462"/>
      <c r="H8" s="462" t="e">
        <f>VLOOKUP(4,Order!A$23:T$1164,4,TRUE)</f>
        <v>#N/A</v>
      </c>
      <c r="I8" s="462" t="e">
        <f>VLOOKUP(4,Order!A$23:T$1164,2,TRUE)</f>
        <v>#N/A</v>
      </c>
      <c r="J8" s="462" t="e">
        <f>VLOOKUP(4,Order!A$23:T$1164,17,TRUE)</f>
        <v>#N/A</v>
      </c>
      <c r="K8" s="462" t="e">
        <f>VLOOKUP(4,Order!A$23:T$1164,3,TRUE)</f>
        <v>#N/A</v>
      </c>
      <c r="L8" s="462"/>
      <c r="M8" s="462"/>
      <c r="N8" s="462"/>
      <c r="O8" s="462"/>
      <c r="P8" s="462"/>
      <c r="Q8" s="462"/>
    </row>
    <row r="9" spans="1:17" x14ac:dyDescent="0.15">
      <c r="A9" s="468" t="e">
        <f t="shared" si="0"/>
        <v>#N/A</v>
      </c>
      <c r="B9" s="472" t="e">
        <f t="shared" si="1"/>
        <v>#N/A</v>
      </c>
      <c r="C9" s="470" t="e">
        <f t="shared" ref="C9:C37" si="3">IF(H9=H8,"",I9)</f>
        <v>#N/A</v>
      </c>
      <c r="D9" s="471" t="e">
        <f t="shared" si="2"/>
        <v>#N/A</v>
      </c>
      <c r="F9" s="462"/>
      <c r="G9" s="462"/>
      <c r="H9" s="462" t="e">
        <f>VLOOKUP(5,Order!A$23:T$1164,4,TRUE)</f>
        <v>#N/A</v>
      </c>
      <c r="I9" s="462" t="e">
        <f>VLOOKUP(5,Order!A$23:T$1164,2,TRUE)</f>
        <v>#N/A</v>
      </c>
      <c r="J9" s="462" t="e">
        <f>VLOOKUP(5,Order!A$23:T$1164,17,TRUE)</f>
        <v>#N/A</v>
      </c>
      <c r="K9" s="462" t="e">
        <f>VLOOKUP(5,Order!A$23:T$1164,3,TRUE)</f>
        <v>#N/A</v>
      </c>
      <c r="L9" s="462"/>
      <c r="M9" s="462"/>
      <c r="N9" s="462"/>
      <c r="O9" s="462"/>
      <c r="P9" s="462"/>
      <c r="Q9" s="462"/>
    </row>
    <row r="10" spans="1:17" x14ac:dyDescent="0.15">
      <c r="A10" s="468" t="e">
        <f t="shared" si="0"/>
        <v>#N/A</v>
      </c>
      <c r="B10" s="472" t="e">
        <f>IF(H10=H9,"",H10)</f>
        <v>#N/A</v>
      </c>
      <c r="C10" s="470" t="e">
        <f t="shared" si="3"/>
        <v>#N/A</v>
      </c>
      <c r="D10" s="471" t="e">
        <f>IF(H10=H9,"",K10)</f>
        <v>#N/A</v>
      </c>
      <c r="F10" s="462"/>
      <c r="G10" s="462"/>
      <c r="H10" s="462" t="e">
        <f>VLOOKUP(6,Order!A$23:T$1164,4,TRUE)</f>
        <v>#N/A</v>
      </c>
      <c r="I10" s="462" t="e">
        <f>VLOOKUP(6,Order!A$23:T$1164,2,TRUE)</f>
        <v>#N/A</v>
      </c>
      <c r="J10" s="462" t="e">
        <f>VLOOKUP(6,Order!A$23:T$1164,17,TRUE)</f>
        <v>#N/A</v>
      </c>
      <c r="K10" s="462" t="e">
        <f>VLOOKUP(6,Order!A$23:T$1164,3,TRUE)</f>
        <v>#N/A</v>
      </c>
      <c r="L10" s="462"/>
      <c r="M10" s="462"/>
      <c r="N10" s="462"/>
      <c r="O10" s="462"/>
      <c r="P10" s="462"/>
      <c r="Q10" s="462"/>
    </row>
    <row r="11" spans="1:17" x14ac:dyDescent="0.15">
      <c r="A11" s="468" t="e">
        <f t="shared" si="0"/>
        <v>#N/A</v>
      </c>
      <c r="B11" s="472" t="e">
        <f t="shared" si="1"/>
        <v>#N/A</v>
      </c>
      <c r="C11" s="470" t="e">
        <f t="shared" si="3"/>
        <v>#N/A</v>
      </c>
      <c r="D11" s="471" t="e">
        <f t="shared" si="2"/>
        <v>#N/A</v>
      </c>
      <c r="F11" s="462"/>
      <c r="G11" s="462"/>
      <c r="H11" s="462" t="e">
        <f>VLOOKUP(7,Order!A$23:T$1164,4,TRUE)</f>
        <v>#N/A</v>
      </c>
      <c r="I11" s="462" t="e">
        <f>VLOOKUP(7,Order!A$23:T$1164,2,TRUE)</f>
        <v>#N/A</v>
      </c>
      <c r="J11" s="462" t="e">
        <f>VLOOKUP(7,Order!A$23:T$1164,17,TRUE)</f>
        <v>#N/A</v>
      </c>
      <c r="K11" s="462" t="e">
        <f>VLOOKUP(7,Order!A$23:T$1164,3,TRUE)</f>
        <v>#N/A</v>
      </c>
      <c r="L11" s="462"/>
      <c r="M11" s="462"/>
      <c r="N11" s="462"/>
      <c r="O11" s="462"/>
      <c r="P11" s="462"/>
      <c r="Q11" s="462"/>
    </row>
    <row r="12" spans="1:17" x14ac:dyDescent="0.15">
      <c r="A12" s="468" t="e">
        <f t="shared" si="0"/>
        <v>#N/A</v>
      </c>
      <c r="B12" s="472" t="e">
        <f t="shared" si="1"/>
        <v>#N/A</v>
      </c>
      <c r="C12" s="470" t="e">
        <f t="shared" si="3"/>
        <v>#N/A</v>
      </c>
      <c r="D12" s="471" t="e">
        <f t="shared" si="2"/>
        <v>#N/A</v>
      </c>
      <c r="F12" s="462"/>
      <c r="G12" s="462"/>
      <c r="H12" s="462" t="e">
        <f>VLOOKUP(8,Order!A$23:T$1164,4,TRUE)</f>
        <v>#N/A</v>
      </c>
      <c r="I12" s="462" t="e">
        <f>VLOOKUP(8,Order!A$23:T$1164,2,TRUE)</f>
        <v>#N/A</v>
      </c>
      <c r="J12" s="462" t="e">
        <f>VLOOKUP(8,Order!A$23:T$1164,17,TRUE)</f>
        <v>#N/A</v>
      </c>
      <c r="K12" s="462" t="e">
        <f>VLOOKUP(8,Order!A$23:T$1164,3,TRUE)</f>
        <v>#N/A</v>
      </c>
      <c r="L12" s="462"/>
      <c r="M12" s="462"/>
      <c r="N12" s="462"/>
      <c r="O12" s="462"/>
      <c r="P12" s="462"/>
      <c r="Q12" s="462"/>
    </row>
    <row r="13" spans="1:17" x14ac:dyDescent="0.15">
      <c r="A13" s="468" t="e">
        <f t="shared" si="0"/>
        <v>#N/A</v>
      </c>
      <c r="B13" s="472" t="e">
        <f>IF(H13=H12,"",H13)</f>
        <v>#N/A</v>
      </c>
      <c r="C13" s="470" t="e">
        <f t="shared" si="3"/>
        <v>#N/A</v>
      </c>
      <c r="D13" s="471" t="e">
        <f>IF(H13=H12,"",K13)</f>
        <v>#N/A</v>
      </c>
      <c r="F13" s="462"/>
      <c r="G13" s="462"/>
      <c r="H13" s="462" t="e">
        <f>VLOOKUP(9,Order!A$23:T$1164,4,TRUE)</f>
        <v>#N/A</v>
      </c>
      <c r="I13" s="462" t="e">
        <f>VLOOKUP(9,Order!A$23:T$1164,2,TRUE)</f>
        <v>#N/A</v>
      </c>
      <c r="J13" s="462" t="e">
        <f>VLOOKUP(9,Order!A$23:T$1164,17,TRUE)</f>
        <v>#N/A</v>
      </c>
      <c r="K13" s="462" t="e">
        <f>VLOOKUP(9,Order!A$23:T$1164,3,TRUE)</f>
        <v>#N/A</v>
      </c>
      <c r="L13" s="462"/>
      <c r="M13" s="462"/>
      <c r="N13" s="462"/>
      <c r="O13" s="462"/>
      <c r="P13" s="462"/>
      <c r="Q13" s="462"/>
    </row>
    <row r="14" spans="1:17" x14ac:dyDescent="0.15">
      <c r="A14" s="468" t="e">
        <f t="shared" si="0"/>
        <v>#N/A</v>
      </c>
      <c r="B14" s="472" t="e">
        <f t="shared" si="1"/>
        <v>#N/A</v>
      </c>
      <c r="C14" s="470" t="e">
        <f t="shared" si="3"/>
        <v>#N/A</v>
      </c>
      <c r="D14" s="471" t="e">
        <f t="shared" si="2"/>
        <v>#N/A</v>
      </c>
      <c r="F14" s="462"/>
      <c r="G14" s="462"/>
      <c r="H14" s="462" t="e">
        <f>VLOOKUP(10,Order!A$23:T$1164,4,TRUE)</f>
        <v>#N/A</v>
      </c>
      <c r="I14" s="462" t="e">
        <f>VLOOKUP(10,Order!A$23:T$1164,2,TRUE)</f>
        <v>#N/A</v>
      </c>
      <c r="J14" s="462" t="e">
        <f>VLOOKUP(10,Order!A$23:T$1164,17,TRUE)</f>
        <v>#N/A</v>
      </c>
      <c r="K14" s="462" t="e">
        <f>VLOOKUP(10,Order!A$23:T$1164,3,TRUE)</f>
        <v>#N/A</v>
      </c>
      <c r="L14" s="462"/>
      <c r="M14" s="462"/>
      <c r="N14" s="462"/>
      <c r="O14" s="462"/>
      <c r="P14" s="462"/>
      <c r="Q14" s="462"/>
    </row>
    <row r="15" spans="1:17" x14ac:dyDescent="0.15">
      <c r="A15" s="468" t="e">
        <f t="shared" si="0"/>
        <v>#N/A</v>
      </c>
      <c r="B15" s="472" t="e">
        <f t="shared" si="1"/>
        <v>#N/A</v>
      </c>
      <c r="C15" s="470" t="e">
        <f t="shared" si="3"/>
        <v>#N/A</v>
      </c>
      <c r="D15" s="471" t="e">
        <f t="shared" si="2"/>
        <v>#N/A</v>
      </c>
      <c r="F15" s="462"/>
      <c r="G15" s="462"/>
      <c r="H15" s="462" t="e">
        <f>VLOOKUP(11,Order!A$23:T$1164,4,TRUE)</f>
        <v>#N/A</v>
      </c>
      <c r="I15" s="462" t="e">
        <f>VLOOKUP(11,Order!A$23:T$1164,2,TRUE)</f>
        <v>#N/A</v>
      </c>
      <c r="J15" s="462" t="e">
        <f>VLOOKUP(11,Order!A$23:T$1164,17,TRUE)</f>
        <v>#N/A</v>
      </c>
      <c r="K15" s="462" t="e">
        <f>VLOOKUP(11,Order!A$23:T$1164,3,TRUE)</f>
        <v>#N/A</v>
      </c>
      <c r="L15" s="462"/>
      <c r="M15" s="462"/>
      <c r="N15" s="462"/>
      <c r="O15" s="462"/>
      <c r="P15" s="462"/>
      <c r="Q15" s="462"/>
    </row>
    <row r="16" spans="1:17" x14ac:dyDescent="0.15">
      <c r="A16" s="468" t="e">
        <f t="shared" si="0"/>
        <v>#N/A</v>
      </c>
      <c r="B16" s="472" t="e">
        <f t="shared" si="1"/>
        <v>#N/A</v>
      </c>
      <c r="C16" s="470" t="e">
        <f t="shared" si="3"/>
        <v>#N/A</v>
      </c>
      <c r="D16" s="471" t="e">
        <f t="shared" si="2"/>
        <v>#N/A</v>
      </c>
      <c r="H16" s="462" t="e">
        <f>VLOOKUP(12,Order!A$23:T$1164,4,TRUE)</f>
        <v>#N/A</v>
      </c>
      <c r="I16" s="462" t="e">
        <f>VLOOKUP(12,Order!A$23:T$1164,2,TRUE)</f>
        <v>#N/A</v>
      </c>
      <c r="J16" s="462" t="e">
        <f>VLOOKUP(12,Order!A$23:T$1164,17,TRUE)</f>
        <v>#N/A</v>
      </c>
      <c r="K16" s="462" t="e">
        <f>VLOOKUP(12,Order!A$23:T$1164,3,TRUE)</f>
        <v>#N/A</v>
      </c>
      <c r="L16" s="462"/>
    </row>
    <row r="17" spans="1:20" x14ac:dyDescent="0.15">
      <c r="A17" s="468" t="e">
        <f t="shared" si="0"/>
        <v>#N/A</v>
      </c>
      <c r="B17" s="472" t="e">
        <f t="shared" si="1"/>
        <v>#N/A</v>
      </c>
      <c r="C17" s="470" t="e">
        <f t="shared" si="3"/>
        <v>#N/A</v>
      </c>
      <c r="D17" s="471" t="e">
        <f t="shared" si="2"/>
        <v>#N/A</v>
      </c>
      <c r="H17" s="462" t="e">
        <f>VLOOKUP(13,Order!A$23:T$1164,4,TRUE)</f>
        <v>#N/A</v>
      </c>
      <c r="I17" s="462" t="e">
        <f>VLOOKUP(13,Order!A$23:T$1164,2,TRUE)</f>
        <v>#N/A</v>
      </c>
      <c r="J17" s="462" t="e">
        <f>VLOOKUP(13,Order!A$23:T$1164,17,TRUE)</f>
        <v>#N/A</v>
      </c>
      <c r="K17" s="462" t="e">
        <f>VLOOKUP(13,Order!A$23:T$1164,3,TRUE)</f>
        <v>#N/A</v>
      </c>
      <c r="L17" s="462"/>
    </row>
    <row r="18" spans="1:20" x14ac:dyDescent="0.15">
      <c r="A18" s="468" t="e">
        <f t="shared" si="0"/>
        <v>#N/A</v>
      </c>
      <c r="B18" s="472" t="e">
        <f t="shared" si="1"/>
        <v>#N/A</v>
      </c>
      <c r="C18" s="470" t="e">
        <f t="shared" si="3"/>
        <v>#N/A</v>
      </c>
      <c r="D18" s="471" t="e">
        <f t="shared" si="2"/>
        <v>#N/A</v>
      </c>
      <c r="H18" s="462" t="e">
        <f>VLOOKUP(14,Order!A$23:T$1164,4,TRUE)</f>
        <v>#N/A</v>
      </c>
      <c r="I18" s="462" t="e">
        <f>VLOOKUP(14,Order!A$23:T$1164,2,TRUE)</f>
        <v>#N/A</v>
      </c>
      <c r="J18" s="462" t="e">
        <f>VLOOKUP(14,Order!A$23:T$1164,17,TRUE)</f>
        <v>#N/A</v>
      </c>
      <c r="K18" s="462" t="e">
        <f>VLOOKUP(14,Order!A$23:T$1164,3,TRUE)</f>
        <v>#N/A</v>
      </c>
      <c r="L18" s="462"/>
    </row>
    <row r="19" spans="1:20" x14ac:dyDescent="0.15">
      <c r="A19" s="468" t="e">
        <f t="shared" si="0"/>
        <v>#N/A</v>
      </c>
      <c r="B19" s="472" t="e">
        <f t="shared" si="1"/>
        <v>#N/A</v>
      </c>
      <c r="C19" s="470" t="e">
        <f t="shared" si="3"/>
        <v>#N/A</v>
      </c>
      <c r="D19" s="471" t="e">
        <f t="shared" si="2"/>
        <v>#N/A</v>
      </c>
      <c r="H19" s="462" t="e">
        <f>VLOOKUP(15,Order!A$23:T$1164,4,TRUE)</f>
        <v>#N/A</v>
      </c>
      <c r="I19" s="462" t="e">
        <f>VLOOKUP(15,Order!A$23:T$1164,2,TRUE)</f>
        <v>#N/A</v>
      </c>
      <c r="J19" s="462" t="e">
        <f>VLOOKUP(15,Order!A$23:T$1164,17,TRUE)</f>
        <v>#N/A</v>
      </c>
      <c r="K19" s="462" t="e">
        <f>VLOOKUP(15,Order!A$23:T$1164,3,TRUE)</f>
        <v>#N/A</v>
      </c>
      <c r="L19" s="462"/>
    </row>
    <row r="20" spans="1:20" x14ac:dyDescent="0.15">
      <c r="A20" s="468" t="e">
        <f t="shared" si="0"/>
        <v>#N/A</v>
      </c>
      <c r="B20" s="472" t="e">
        <f t="shared" si="1"/>
        <v>#N/A</v>
      </c>
      <c r="C20" s="470" t="e">
        <f t="shared" si="3"/>
        <v>#N/A</v>
      </c>
      <c r="D20" s="471" t="e">
        <f t="shared" si="2"/>
        <v>#N/A</v>
      </c>
      <c r="H20" s="462" t="e">
        <f>VLOOKUP(16,Order!A$23:T$1164,4,TRUE)</f>
        <v>#N/A</v>
      </c>
      <c r="I20" s="462" t="e">
        <f>VLOOKUP(16,Order!A$23:T$1164,2,TRUE)</f>
        <v>#N/A</v>
      </c>
      <c r="J20" s="462" t="e">
        <f>VLOOKUP(16,Order!A$23:T$1164,17,TRUE)</f>
        <v>#N/A</v>
      </c>
      <c r="K20" s="462" t="e">
        <f>VLOOKUP(16,Order!A$23:T$1164,3,TRUE)</f>
        <v>#N/A</v>
      </c>
      <c r="L20" s="462"/>
    </row>
    <row r="21" spans="1:20" x14ac:dyDescent="0.15">
      <c r="A21" s="468" t="e">
        <f t="shared" si="0"/>
        <v>#N/A</v>
      </c>
      <c r="B21" s="472" t="e">
        <f t="shared" si="1"/>
        <v>#N/A</v>
      </c>
      <c r="C21" s="470" t="e">
        <f t="shared" si="3"/>
        <v>#N/A</v>
      </c>
      <c r="D21" s="471" t="e">
        <f t="shared" si="2"/>
        <v>#N/A</v>
      </c>
      <c r="H21" s="462" t="e">
        <f>VLOOKUP(17,Order!A$23:T$1164,4,TRUE)</f>
        <v>#N/A</v>
      </c>
      <c r="I21" s="462" t="e">
        <f>VLOOKUP(17,Order!A$23:T$1164,2,TRUE)</f>
        <v>#N/A</v>
      </c>
      <c r="J21" s="462" t="e">
        <f>VLOOKUP(17,Order!A$23:T$1164,17,TRUE)</f>
        <v>#N/A</v>
      </c>
      <c r="K21" s="462" t="e">
        <f>VLOOKUP(17,Order!A$23:T$1164,3,TRUE)</f>
        <v>#N/A</v>
      </c>
      <c r="L21" s="462"/>
    </row>
    <row r="22" spans="1:20" x14ac:dyDescent="0.15">
      <c r="A22" s="468" t="e">
        <f t="shared" si="0"/>
        <v>#N/A</v>
      </c>
      <c r="B22" s="472" t="e">
        <f t="shared" si="1"/>
        <v>#N/A</v>
      </c>
      <c r="C22" s="470" t="e">
        <f t="shared" si="3"/>
        <v>#N/A</v>
      </c>
      <c r="D22" s="471" t="e">
        <f t="shared" ref="D22:D37" si="4">IF(H22=H21,"",K22)</f>
        <v>#N/A</v>
      </c>
      <c r="H22" s="462" t="e">
        <f>VLOOKUP(18,Order!A$23:T$1164,4,TRUE)</f>
        <v>#N/A</v>
      </c>
      <c r="I22" s="462" t="e">
        <f>VLOOKUP(18,Order!A$23:T$1164,2,TRUE)</f>
        <v>#N/A</v>
      </c>
      <c r="J22" s="462" t="e">
        <f>VLOOKUP(18,Order!A$23:T$1164,17,TRUE)</f>
        <v>#N/A</v>
      </c>
      <c r="K22" s="462" t="e">
        <f>VLOOKUP(18,Order!A$23:T$1164,3,TRUE)</f>
        <v>#N/A</v>
      </c>
      <c r="L22" s="462"/>
    </row>
    <row r="23" spans="1:20" x14ac:dyDescent="0.15">
      <c r="A23" s="468" t="e">
        <f t="shared" si="0"/>
        <v>#N/A</v>
      </c>
      <c r="B23" s="472" t="e">
        <f t="shared" si="1"/>
        <v>#N/A</v>
      </c>
      <c r="C23" s="470" t="e">
        <f t="shared" si="3"/>
        <v>#N/A</v>
      </c>
      <c r="D23" s="471" t="e">
        <f t="shared" si="4"/>
        <v>#N/A</v>
      </c>
      <c r="H23" s="462" t="e">
        <f>VLOOKUP(19,Order!A$23:T$1164,4,TRUE)</f>
        <v>#N/A</v>
      </c>
      <c r="I23" s="462" t="e">
        <f>VLOOKUP(19,Order!A$23:T$1164,2,TRUE)</f>
        <v>#N/A</v>
      </c>
      <c r="J23" s="462" t="e">
        <f>VLOOKUP(19,Order!A$23:T$1164,17,TRUE)</f>
        <v>#N/A</v>
      </c>
      <c r="K23" s="462" t="e">
        <f>VLOOKUP(19,Order!A$23:T$1164,3,TRUE)</f>
        <v>#N/A</v>
      </c>
      <c r="L23" s="462"/>
    </row>
    <row r="24" spans="1:20" x14ac:dyDescent="0.15">
      <c r="A24" s="468" t="e">
        <f t="shared" si="0"/>
        <v>#N/A</v>
      </c>
      <c r="B24" s="472" t="e">
        <f t="shared" si="1"/>
        <v>#N/A</v>
      </c>
      <c r="C24" s="470" t="e">
        <f t="shared" si="3"/>
        <v>#N/A</v>
      </c>
      <c r="D24" s="471" t="e">
        <f t="shared" si="4"/>
        <v>#N/A</v>
      </c>
      <c r="H24" s="462" t="e">
        <f>VLOOKUP(20,Order!A$23:T$1164,4,TRUE)</f>
        <v>#N/A</v>
      </c>
      <c r="I24" s="462" t="e">
        <f>VLOOKUP(20,Order!A$23:T$1164,2,TRUE)</f>
        <v>#N/A</v>
      </c>
      <c r="J24" s="462" t="e">
        <f>VLOOKUP(20,Order!A$23:T$1164,17,TRUE)</f>
        <v>#N/A</v>
      </c>
      <c r="K24" s="462" t="e">
        <f>VLOOKUP(20,Order!A$23:T$1164,3,TRUE)</f>
        <v>#N/A</v>
      </c>
      <c r="L24" s="462"/>
    </row>
    <row r="25" spans="1:20" x14ac:dyDescent="0.15">
      <c r="A25" s="468" t="e">
        <f t="shared" si="0"/>
        <v>#N/A</v>
      </c>
      <c r="B25" s="472" t="e">
        <f t="shared" si="1"/>
        <v>#N/A</v>
      </c>
      <c r="C25" s="470" t="e">
        <f t="shared" si="3"/>
        <v>#N/A</v>
      </c>
      <c r="D25" s="471" t="e">
        <f t="shared" si="4"/>
        <v>#N/A</v>
      </c>
      <c r="H25" s="462" t="e">
        <f>VLOOKUP(21,Order!A$23:T$1164,4,TRUE)</f>
        <v>#N/A</v>
      </c>
      <c r="I25" s="462" t="e">
        <f>VLOOKUP(21,Order!A$23:T$1164,2,TRUE)</f>
        <v>#N/A</v>
      </c>
      <c r="J25" s="462" t="e">
        <f>VLOOKUP(21,Order!A$23:T$1164,17,TRUE)</f>
        <v>#N/A</v>
      </c>
      <c r="K25" s="462" t="e">
        <f>VLOOKUP(21,Order!A$23:T$1164,3,TRUE)</f>
        <v>#N/A</v>
      </c>
      <c r="L25" s="462"/>
    </row>
    <row r="26" spans="1:20" x14ac:dyDescent="0.15">
      <c r="A26" s="468" t="e">
        <f t="shared" si="0"/>
        <v>#N/A</v>
      </c>
      <c r="B26" s="472" t="e">
        <f t="shared" si="1"/>
        <v>#N/A</v>
      </c>
      <c r="C26" s="470" t="e">
        <f t="shared" si="3"/>
        <v>#N/A</v>
      </c>
      <c r="D26" s="471" t="e">
        <f t="shared" si="4"/>
        <v>#N/A</v>
      </c>
      <c r="H26" s="462" t="e">
        <f>VLOOKUP(22,Order!A$23:T$1164,4,TRUE)</f>
        <v>#N/A</v>
      </c>
      <c r="I26" s="462" t="e">
        <f>VLOOKUP(22,Order!A$23:T$1164,2,TRUE)</f>
        <v>#N/A</v>
      </c>
      <c r="J26" s="462" t="e">
        <f>VLOOKUP(22,Order!A$23:T$1164,17,TRUE)</f>
        <v>#N/A</v>
      </c>
      <c r="K26" s="462" t="e">
        <f>VLOOKUP(22,Order!A$23:T$1164,3,TRUE)</f>
        <v>#N/A</v>
      </c>
      <c r="L26" s="462"/>
    </row>
    <row r="27" spans="1:20" x14ac:dyDescent="0.15">
      <c r="A27" s="468" t="e">
        <f t="shared" si="0"/>
        <v>#N/A</v>
      </c>
      <c r="B27" s="472" t="e">
        <f t="shared" si="1"/>
        <v>#N/A</v>
      </c>
      <c r="C27" s="470" t="e">
        <f t="shared" si="3"/>
        <v>#N/A</v>
      </c>
      <c r="D27" s="471" t="e">
        <f t="shared" si="4"/>
        <v>#N/A</v>
      </c>
      <c r="H27" s="462" t="e">
        <f>VLOOKUP(23,Order!A$23:T$1164,4,TRUE)</f>
        <v>#N/A</v>
      </c>
      <c r="I27" s="462" t="e">
        <f>VLOOKUP(23,Order!A$23:T$1164,2,TRUE)</f>
        <v>#N/A</v>
      </c>
      <c r="J27" s="462" t="e">
        <f>VLOOKUP(23,Order!A$23:T$1164,17,TRUE)</f>
        <v>#N/A</v>
      </c>
      <c r="K27" s="462" t="e">
        <f>VLOOKUP(23,Order!A$23:T$1164,3,TRUE)</f>
        <v>#N/A</v>
      </c>
      <c r="L27" s="462"/>
      <c r="S27" s="463"/>
      <c r="T27" s="463"/>
    </row>
    <row r="28" spans="1:20" x14ac:dyDescent="0.15">
      <c r="A28" s="468" t="e">
        <f t="shared" si="0"/>
        <v>#N/A</v>
      </c>
      <c r="B28" s="472" t="e">
        <f t="shared" si="1"/>
        <v>#N/A</v>
      </c>
      <c r="C28" s="470" t="e">
        <f t="shared" si="3"/>
        <v>#N/A</v>
      </c>
      <c r="D28" s="471" t="e">
        <f t="shared" si="4"/>
        <v>#N/A</v>
      </c>
      <c r="H28" s="462" t="e">
        <f>VLOOKUP(24,Order!A$23:T$1164,4,TRUE)</f>
        <v>#N/A</v>
      </c>
      <c r="I28" s="462" t="e">
        <f>VLOOKUP(24,Order!A$23:T$1164,2,TRUE)</f>
        <v>#N/A</v>
      </c>
      <c r="J28" s="462" t="e">
        <f>VLOOKUP(24,Order!A$23:T$1164,17,TRUE)</f>
        <v>#N/A</v>
      </c>
      <c r="K28" s="462" t="e">
        <f>VLOOKUP(24,Order!A$23:T$1164,3,TRUE)</f>
        <v>#N/A</v>
      </c>
      <c r="L28" s="462"/>
      <c r="S28" s="463"/>
      <c r="T28" s="463"/>
    </row>
    <row r="29" spans="1:20" x14ac:dyDescent="0.15">
      <c r="A29" s="468" t="e">
        <f t="shared" si="0"/>
        <v>#N/A</v>
      </c>
      <c r="B29" s="472" t="e">
        <f t="shared" si="1"/>
        <v>#N/A</v>
      </c>
      <c r="C29" s="470" t="e">
        <f t="shared" si="3"/>
        <v>#N/A</v>
      </c>
      <c r="D29" s="471" t="e">
        <f t="shared" si="4"/>
        <v>#N/A</v>
      </c>
      <c r="H29" s="462" t="e">
        <f>VLOOKUP(25,Order!A$23:T$1164,4,TRUE)</f>
        <v>#N/A</v>
      </c>
      <c r="I29" s="462" t="e">
        <f>VLOOKUP(25,Order!A$23:T$1164,2,TRUE)</f>
        <v>#N/A</v>
      </c>
      <c r="J29" s="462" t="e">
        <f>VLOOKUP(25,Order!A$23:T$1164,17,TRUE)</f>
        <v>#N/A</v>
      </c>
      <c r="K29" s="462" t="e">
        <f>VLOOKUP(25,Order!A$23:T$1164,3,TRUE)</f>
        <v>#N/A</v>
      </c>
      <c r="L29" s="462"/>
      <c r="S29" s="463"/>
      <c r="T29" s="463"/>
    </row>
    <row r="30" spans="1:20" x14ac:dyDescent="0.15">
      <c r="A30" s="468" t="e">
        <f t="shared" si="0"/>
        <v>#N/A</v>
      </c>
      <c r="B30" s="472" t="e">
        <f t="shared" si="1"/>
        <v>#N/A</v>
      </c>
      <c r="C30" s="470" t="e">
        <f t="shared" si="3"/>
        <v>#N/A</v>
      </c>
      <c r="D30" s="471" t="e">
        <f t="shared" si="4"/>
        <v>#N/A</v>
      </c>
      <c r="H30" s="462" t="e">
        <f>VLOOKUP(26,Order!A$23:T$1164,4,TRUE)</f>
        <v>#N/A</v>
      </c>
      <c r="I30" s="462" t="e">
        <f>VLOOKUP(26,Order!A$23:T$1164,2,TRUE)</f>
        <v>#N/A</v>
      </c>
      <c r="J30" s="462" t="e">
        <f>VLOOKUP(26,Order!A$23:T$1164,17,TRUE)</f>
        <v>#N/A</v>
      </c>
      <c r="K30" s="462" t="e">
        <f>VLOOKUP(26,Order!A$23:T$1164,3,TRUE)</f>
        <v>#N/A</v>
      </c>
      <c r="L30" s="462"/>
      <c r="S30" s="463"/>
      <c r="T30" s="463"/>
    </row>
    <row r="31" spans="1:20" x14ac:dyDescent="0.15">
      <c r="A31" s="468" t="e">
        <f t="shared" si="0"/>
        <v>#N/A</v>
      </c>
      <c r="B31" s="472" t="e">
        <f t="shared" si="1"/>
        <v>#N/A</v>
      </c>
      <c r="C31" s="470" t="e">
        <f t="shared" si="3"/>
        <v>#N/A</v>
      </c>
      <c r="D31" s="471" t="e">
        <f t="shared" si="4"/>
        <v>#N/A</v>
      </c>
      <c r="H31" s="462" t="e">
        <f>VLOOKUP(27,Order!A$23:T$1164,4,TRUE)</f>
        <v>#N/A</v>
      </c>
      <c r="I31" s="462" t="e">
        <f>VLOOKUP(27,Order!A$23:T$1164,2,TRUE)</f>
        <v>#N/A</v>
      </c>
      <c r="J31" s="462" t="e">
        <f>VLOOKUP(27,Order!A$23:T$1164,17,TRUE)</f>
        <v>#N/A</v>
      </c>
      <c r="K31" s="462" t="e">
        <f>VLOOKUP(27,Order!A$23:T$1164,3,TRUE)</f>
        <v>#N/A</v>
      </c>
      <c r="L31" s="462"/>
      <c r="S31" s="463"/>
      <c r="T31" s="463"/>
    </row>
    <row r="32" spans="1:20" x14ac:dyDescent="0.15">
      <c r="A32" s="468" t="e">
        <f t="shared" si="0"/>
        <v>#N/A</v>
      </c>
      <c r="B32" s="472" t="e">
        <f t="shared" si="1"/>
        <v>#N/A</v>
      </c>
      <c r="C32" s="470" t="e">
        <f t="shared" si="3"/>
        <v>#N/A</v>
      </c>
      <c r="D32" s="471" t="e">
        <f t="shared" si="4"/>
        <v>#N/A</v>
      </c>
      <c r="H32" s="462" t="e">
        <f>VLOOKUP(28,Order!A$23:T$1164,4,TRUE)</f>
        <v>#N/A</v>
      </c>
      <c r="I32" s="462" t="e">
        <f>VLOOKUP(28,Order!A$23:T$1164,2,TRUE)</f>
        <v>#N/A</v>
      </c>
      <c r="J32" s="462" t="e">
        <f>VLOOKUP(28,Order!A$23:T$1164,17,TRUE)</f>
        <v>#N/A</v>
      </c>
      <c r="K32" s="462" t="e">
        <f>VLOOKUP(28,Order!A$23:T$1164,3,TRUE)</f>
        <v>#N/A</v>
      </c>
      <c r="L32" s="462"/>
      <c r="S32" s="463"/>
      <c r="T32" s="463"/>
    </row>
    <row r="33" spans="1:20" x14ac:dyDescent="0.15">
      <c r="A33" s="468" t="e">
        <f t="shared" si="0"/>
        <v>#N/A</v>
      </c>
      <c r="B33" s="472" t="e">
        <f t="shared" si="1"/>
        <v>#N/A</v>
      </c>
      <c r="C33" s="470" t="e">
        <f t="shared" si="3"/>
        <v>#N/A</v>
      </c>
      <c r="D33" s="471" t="e">
        <f t="shared" si="4"/>
        <v>#N/A</v>
      </c>
      <c r="H33" s="462" t="e">
        <f>VLOOKUP(29,Order!A$23:T$1164,4,TRUE)</f>
        <v>#N/A</v>
      </c>
      <c r="I33" s="462" t="e">
        <f>VLOOKUP(29,Order!A$23:T$1164,2,TRUE)</f>
        <v>#N/A</v>
      </c>
      <c r="J33" s="462" t="e">
        <f>VLOOKUP(29,Order!A$23:T$1164,17,TRUE)</f>
        <v>#N/A</v>
      </c>
      <c r="K33" s="462" t="e">
        <f>VLOOKUP(29,Order!A$23:T$1164,3,TRUE)</f>
        <v>#N/A</v>
      </c>
      <c r="L33" s="462"/>
      <c r="S33" s="463"/>
      <c r="T33" s="463"/>
    </row>
    <row r="34" spans="1:20" x14ac:dyDescent="0.15">
      <c r="A34" s="468" t="e">
        <f t="shared" si="0"/>
        <v>#N/A</v>
      </c>
      <c r="B34" s="472" t="e">
        <f t="shared" si="1"/>
        <v>#N/A</v>
      </c>
      <c r="C34" s="470" t="e">
        <f t="shared" si="3"/>
        <v>#N/A</v>
      </c>
      <c r="D34" s="471" t="e">
        <f t="shared" si="4"/>
        <v>#N/A</v>
      </c>
      <c r="H34" s="462" t="e">
        <f>VLOOKUP(30,Order!A$23:T$1164,4,TRUE)</f>
        <v>#N/A</v>
      </c>
      <c r="I34" s="462" t="e">
        <f>VLOOKUP(30,Order!A$23:T$1164,2,TRUE)</f>
        <v>#N/A</v>
      </c>
      <c r="J34" s="462" t="e">
        <f>VLOOKUP(30,Order!A$23:T$1164,17,TRUE)</f>
        <v>#N/A</v>
      </c>
      <c r="K34" s="462" t="e">
        <f>VLOOKUP(30,Order!A$23:T$1164,3,TRUE)</f>
        <v>#N/A</v>
      </c>
      <c r="L34" s="462"/>
      <c r="S34" s="463"/>
      <c r="T34" s="463"/>
    </row>
    <row r="35" spans="1:20" x14ac:dyDescent="0.15">
      <c r="A35" s="468" t="e">
        <f t="shared" si="0"/>
        <v>#N/A</v>
      </c>
      <c r="B35" s="472" t="e">
        <f t="shared" si="1"/>
        <v>#N/A</v>
      </c>
      <c r="C35" s="470" t="e">
        <f t="shared" si="3"/>
        <v>#N/A</v>
      </c>
      <c r="D35" s="471" t="e">
        <f t="shared" si="4"/>
        <v>#N/A</v>
      </c>
      <c r="H35" s="462" t="e">
        <f>VLOOKUP(31,Order!A$23:T$1164,4,TRUE)</f>
        <v>#N/A</v>
      </c>
      <c r="I35" s="462" t="e">
        <f>VLOOKUP(31,Order!A$23:T$1164,2,TRUE)</f>
        <v>#N/A</v>
      </c>
      <c r="J35" s="462" t="e">
        <f>VLOOKUP(31,Order!A$23:T$1164,17,TRUE)</f>
        <v>#N/A</v>
      </c>
      <c r="K35" s="462" t="e">
        <f>VLOOKUP(31,Order!A$23:T$1164,3,TRUE)</f>
        <v>#N/A</v>
      </c>
      <c r="L35" s="462"/>
      <c r="S35" s="463"/>
      <c r="T35" s="463"/>
    </row>
    <row r="36" spans="1:20" x14ac:dyDescent="0.15">
      <c r="A36" s="468" t="e">
        <f t="shared" si="0"/>
        <v>#N/A</v>
      </c>
      <c r="B36" s="472" t="e">
        <f t="shared" si="1"/>
        <v>#N/A</v>
      </c>
      <c r="C36" s="470" t="e">
        <f t="shared" si="3"/>
        <v>#N/A</v>
      </c>
      <c r="D36" s="471" t="e">
        <f t="shared" si="4"/>
        <v>#N/A</v>
      </c>
      <c r="H36" s="462" t="e">
        <f>VLOOKUP(32,Order!A$23:T$1164,4,TRUE)</f>
        <v>#N/A</v>
      </c>
      <c r="I36" s="462" t="e">
        <f>VLOOKUP(32,Order!A$23:T$1164,2,TRUE)</f>
        <v>#N/A</v>
      </c>
      <c r="J36" s="462" t="e">
        <f>VLOOKUP(32,Order!A$23:T$1164,17,TRUE)</f>
        <v>#N/A</v>
      </c>
      <c r="K36" s="462" t="e">
        <f>VLOOKUP(32,Order!A$23:T$1164,3,TRUE)</f>
        <v>#N/A</v>
      </c>
      <c r="L36" s="462"/>
      <c r="S36" s="463"/>
      <c r="T36" s="463"/>
    </row>
    <row r="37" spans="1:20" x14ac:dyDescent="0.15">
      <c r="A37" s="468" t="e">
        <f t="shared" si="0"/>
        <v>#N/A</v>
      </c>
      <c r="B37" s="472" t="e">
        <f t="shared" si="1"/>
        <v>#N/A</v>
      </c>
      <c r="C37" s="470" t="e">
        <f t="shared" si="3"/>
        <v>#N/A</v>
      </c>
      <c r="D37" s="471" t="e">
        <f t="shared" si="4"/>
        <v>#N/A</v>
      </c>
      <c r="H37" s="462" t="e">
        <f>VLOOKUP(33,Order!A$23:T$1164,4,TRUE)</f>
        <v>#N/A</v>
      </c>
      <c r="I37" s="462" t="e">
        <f>VLOOKUP(33,Order!A$23:T$1164,2,TRUE)</f>
        <v>#N/A</v>
      </c>
      <c r="J37" s="462" t="e">
        <f>VLOOKUP(33,Order!A$23:T$1164,17,TRUE)</f>
        <v>#N/A</v>
      </c>
      <c r="K37" s="462" t="e">
        <f>VLOOKUP(33,Order!A$23:T$1164,3,TRUE)</f>
        <v>#N/A</v>
      </c>
      <c r="L37" s="462"/>
      <c r="S37" s="463"/>
      <c r="T37" s="463"/>
    </row>
    <row r="38" spans="1:20" x14ac:dyDescent="0.15">
      <c r="A38" s="468" t="e">
        <f t="shared" ref="A38:A69" si="5">IF(J38=0,"",IF(J38=J37,"",J38))</f>
        <v>#N/A</v>
      </c>
      <c r="B38" s="472" t="e">
        <f t="shared" ref="B38:B69" si="6">IF(H38=H37,"",H38)</f>
        <v>#N/A</v>
      </c>
      <c r="C38" s="470" t="e">
        <f t="shared" ref="C38:C69" si="7">IF(H38=H37,"",I38)</f>
        <v>#N/A</v>
      </c>
      <c r="D38" s="471" t="e">
        <f t="shared" ref="D38:D69" si="8">IF(H38=H37,"",K38)</f>
        <v>#N/A</v>
      </c>
      <c r="H38" s="462" t="e">
        <f>VLOOKUP(34,Order!A$23:T$1164,4,TRUE)</f>
        <v>#N/A</v>
      </c>
      <c r="I38" s="462" t="e">
        <f>VLOOKUP(34,Order!A$23:T$1164,2,TRUE)</f>
        <v>#N/A</v>
      </c>
      <c r="J38" s="462" t="e">
        <f>VLOOKUP(34,Order!A$23:T$1164,17,TRUE)</f>
        <v>#N/A</v>
      </c>
      <c r="K38" s="462" t="e">
        <f>VLOOKUP(34,Order!A$23:T$1164,3,TRUE)</f>
        <v>#N/A</v>
      </c>
      <c r="L38" s="462"/>
      <c r="S38" s="463"/>
      <c r="T38" s="463"/>
    </row>
    <row r="39" spans="1:20" x14ac:dyDescent="0.15">
      <c r="A39" s="468" t="e">
        <f t="shared" si="5"/>
        <v>#N/A</v>
      </c>
      <c r="B39" s="472" t="e">
        <f t="shared" si="6"/>
        <v>#N/A</v>
      </c>
      <c r="C39" s="470" t="e">
        <f t="shared" si="7"/>
        <v>#N/A</v>
      </c>
      <c r="D39" s="471" t="e">
        <f t="shared" si="8"/>
        <v>#N/A</v>
      </c>
      <c r="H39" s="462" t="e">
        <f>VLOOKUP(35,Order!A$23:T$1164,4,TRUE)</f>
        <v>#N/A</v>
      </c>
      <c r="I39" s="462" t="e">
        <f>VLOOKUP(35,Order!A$23:T$1164,2,TRUE)</f>
        <v>#N/A</v>
      </c>
      <c r="J39" s="462" t="e">
        <f>VLOOKUP(35,Order!A$23:T$1164,17,TRUE)</f>
        <v>#N/A</v>
      </c>
      <c r="K39" s="462" t="e">
        <f>VLOOKUP(35,Order!A$23:T$1164,3,TRUE)</f>
        <v>#N/A</v>
      </c>
      <c r="L39" s="462"/>
      <c r="S39" s="463"/>
      <c r="T39" s="463"/>
    </row>
    <row r="40" spans="1:20" x14ac:dyDescent="0.15">
      <c r="A40" s="468" t="e">
        <f t="shared" si="5"/>
        <v>#N/A</v>
      </c>
      <c r="B40" s="472" t="e">
        <f t="shared" si="6"/>
        <v>#N/A</v>
      </c>
      <c r="C40" s="470" t="e">
        <f t="shared" si="7"/>
        <v>#N/A</v>
      </c>
      <c r="D40" s="471" t="e">
        <f t="shared" si="8"/>
        <v>#N/A</v>
      </c>
      <c r="H40" s="462" t="e">
        <f>VLOOKUP(36,Order!A$23:T$1164,4,TRUE)</f>
        <v>#N/A</v>
      </c>
      <c r="I40" s="462" t="e">
        <f>VLOOKUP(36,Order!A$23:T$1164,2,TRUE)</f>
        <v>#N/A</v>
      </c>
      <c r="J40" s="462" t="e">
        <f>VLOOKUP(36,Order!A$23:T$1164,17,TRUE)</f>
        <v>#N/A</v>
      </c>
      <c r="K40" s="462" t="e">
        <f>VLOOKUP(36,Order!A$23:T$1164,3,TRUE)</f>
        <v>#N/A</v>
      </c>
      <c r="L40" s="462"/>
      <c r="S40" s="463"/>
      <c r="T40" s="463"/>
    </row>
    <row r="41" spans="1:20" x14ac:dyDescent="0.15">
      <c r="A41" s="468" t="e">
        <f t="shared" si="5"/>
        <v>#N/A</v>
      </c>
      <c r="B41" s="472" t="e">
        <f t="shared" si="6"/>
        <v>#N/A</v>
      </c>
      <c r="C41" s="470" t="e">
        <f t="shared" si="7"/>
        <v>#N/A</v>
      </c>
      <c r="D41" s="471" t="e">
        <f t="shared" si="8"/>
        <v>#N/A</v>
      </c>
      <c r="H41" s="462" t="e">
        <f>VLOOKUP(37,Order!A$23:T$1164,4,TRUE)</f>
        <v>#N/A</v>
      </c>
      <c r="I41" s="462" t="e">
        <f>VLOOKUP(37,Order!A$23:T$1164,2,TRUE)</f>
        <v>#N/A</v>
      </c>
      <c r="J41" s="462" t="e">
        <f>VLOOKUP(37,Order!A$23:T$1164,17,TRUE)</f>
        <v>#N/A</v>
      </c>
      <c r="K41" s="462" t="e">
        <f>VLOOKUP(37,Order!A$23:T$1164,3,TRUE)</f>
        <v>#N/A</v>
      </c>
      <c r="L41" s="462"/>
      <c r="S41" s="463"/>
      <c r="T41" s="463"/>
    </row>
    <row r="42" spans="1:20" x14ac:dyDescent="0.15">
      <c r="A42" s="468" t="e">
        <f t="shared" si="5"/>
        <v>#N/A</v>
      </c>
      <c r="B42" s="472" t="e">
        <f t="shared" si="6"/>
        <v>#N/A</v>
      </c>
      <c r="C42" s="470" t="e">
        <f t="shared" si="7"/>
        <v>#N/A</v>
      </c>
      <c r="D42" s="471" t="e">
        <f t="shared" si="8"/>
        <v>#N/A</v>
      </c>
      <c r="H42" s="462" t="e">
        <f>VLOOKUP(38,Order!A$23:T$1164,4,TRUE)</f>
        <v>#N/A</v>
      </c>
      <c r="I42" s="462" t="e">
        <f>VLOOKUP(38,Order!A$23:T$1164,2,TRUE)</f>
        <v>#N/A</v>
      </c>
      <c r="J42" s="462" t="e">
        <f>VLOOKUP(38,Order!A$23:T$1164,17,TRUE)</f>
        <v>#N/A</v>
      </c>
      <c r="K42" s="462" t="e">
        <f>VLOOKUP(38,Order!A$23:T$1164,3,TRUE)</f>
        <v>#N/A</v>
      </c>
      <c r="L42" s="462"/>
      <c r="S42" s="463"/>
      <c r="T42" s="463"/>
    </row>
    <row r="43" spans="1:20" x14ac:dyDescent="0.15">
      <c r="A43" s="468" t="e">
        <f t="shared" si="5"/>
        <v>#N/A</v>
      </c>
      <c r="B43" s="472" t="e">
        <f t="shared" si="6"/>
        <v>#N/A</v>
      </c>
      <c r="C43" s="470" t="e">
        <f t="shared" si="7"/>
        <v>#N/A</v>
      </c>
      <c r="D43" s="471" t="e">
        <f t="shared" si="8"/>
        <v>#N/A</v>
      </c>
      <c r="H43" s="462" t="e">
        <f>VLOOKUP(39,Order!A$23:T$1164,4,TRUE)</f>
        <v>#N/A</v>
      </c>
      <c r="I43" s="462" t="e">
        <f>VLOOKUP(39,Order!A$23:T$1164,2,TRUE)</f>
        <v>#N/A</v>
      </c>
      <c r="J43" s="462" t="e">
        <f>VLOOKUP(39,Order!A$23:T$1164,17,TRUE)</f>
        <v>#N/A</v>
      </c>
      <c r="K43" s="462" t="e">
        <f>VLOOKUP(39,Order!A$23:T$1164,3,TRUE)</f>
        <v>#N/A</v>
      </c>
      <c r="L43" s="462"/>
      <c r="S43" s="463"/>
      <c r="T43" s="463"/>
    </row>
    <row r="44" spans="1:20" x14ac:dyDescent="0.15">
      <c r="A44" s="468" t="e">
        <f t="shared" si="5"/>
        <v>#N/A</v>
      </c>
      <c r="B44" s="472" t="e">
        <f t="shared" si="6"/>
        <v>#N/A</v>
      </c>
      <c r="C44" s="470" t="e">
        <f t="shared" si="7"/>
        <v>#N/A</v>
      </c>
      <c r="D44" s="471" t="e">
        <f t="shared" si="8"/>
        <v>#N/A</v>
      </c>
      <c r="H44" s="462" t="e">
        <f>VLOOKUP(40,Order!A$23:T$1164,4,TRUE)</f>
        <v>#N/A</v>
      </c>
      <c r="I44" s="462" t="e">
        <f>VLOOKUP(40,Order!A$23:T$1164,2,TRUE)</f>
        <v>#N/A</v>
      </c>
      <c r="J44" s="462" t="e">
        <f>VLOOKUP(40,Order!A$23:T$1164,17,TRUE)</f>
        <v>#N/A</v>
      </c>
      <c r="K44" s="462" t="e">
        <f>VLOOKUP(40,Order!A$23:T$1164,3,TRUE)</f>
        <v>#N/A</v>
      </c>
      <c r="L44" s="462"/>
      <c r="S44" s="463"/>
      <c r="T44" s="463"/>
    </row>
    <row r="45" spans="1:20" x14ac:dyDescent="0.15">
      <c r="A45" s="468" t="e">
        <f t="shared" si="5"/>
        <v>#N/A</v>
      </c>
      <c r="B45" s="472" t="e">
        <f t="shared" si="6"/>
        <v>#N/A</v>
      </c>
      <c r="C45" s="470" t="e">
        <f t="shared" si="7"/>
        <v>#N/A</v>
      </c>
      <c r="D45" s="471" t="e">
        <f t="shared" si="8"/>
        <v>#N/A</v>
      </c>
      <c r="H45" s="462" t="e">
        <f>VLOOKUP(41,Order!A$23:T$1164,4,TRUE)</f>
        <v>#N/A</v>
      </c>
      <c r="I45" s="462" t="e">
        <f>VLOOKUP(41,Order!A$23:T$1164,2,TRUE)</f>
        <v>#N/A</v>
      </c>
      <c r="J45" s="462" t="e">
        <f>VLOOKUP(41,Order!A$23:T$1164,17,TRUE)</f>
        <v>#N/A</v>
      </c>
      <c r="K45" s="462" t="e">
        <f>VLOOKUP(41,Order!A$23:T$1164,3,TRUE)</f>
        <v>#N/A</v>
      </c>
      <c r="L45" s="462"/>
      <c r="S45" s="463"/>
      <c r="T45" s="463"/>
    </row>
    <row r="46" spans="1:20" x14ac:dyDescent="0.15">
      <c r="A46" s="468" t="e">
        <f t="shared" si="5"/>
        <v>#N/A</v>
      </c>
      <c r="B46" s="472" t="e">
        <f t="shared" si="6"/>
        <v>#N/A</v>
      </c>
      <c r="C46" s="470" t="e">
        <f t="shared" si="7"/>
        <v>#N/A</v>
      </c>
      <c r="D46" s="471" t="e">
        <f t="shared" si="8"/>
        <v>#N/A</v>
      </c>
      <c r="H46" s="462" t="e">
        <f>VLOOKUP(42,Order!A$23:T$1164,4,TRUE)</f>
        <v>#N/A</v>
      </c>
      <c r="I46" s="462" t="e">
        <f>VLOOKUP(42,Order!A$23:T$1164,2,TRUE)</f>
        <v>#N/A</v>
      </c>
      <c r="J46" s="462" t="e">
        <f>VLOOKUP(42,Order!A$23:T$1164,17,TRUE)</f>
        <v>#N/A</v>
      </c>
      <c r="K46" s="462" t="e">
        <f>VLOOKUP(42,Order!A$23:T$1164,3,TRUE)</f>
        <v>#N/A</v>
      </c>
      <c r="L46" s="462"/>
      <c r="S46" s="463"/>
      <c r="T46" s="463"/>
    </row>
    <row r="47" spans="1:20" x14ac:dyDescent="0.15">
      <c r="A47" s="468" t="e">
        <f t="shared" si="5"/>
        <v>#N/A</v>
      </c>
      <c r="B47" s="472" t="e">
        <f t="shared" si="6"/>
        <v>#N/A</v>
      </c>
      <c r="C47" s="470" t="e">
        <f t="shared" si="7"/>
        <v>#N/A</v>
      </c>
      <c r="D47" s="471" t="e">
        <f t="shared" si="8"/>
        <v>#N/A</v>
      </c>
      <c r="H47" s="462" t="e">
        <f>VLOOKUP(43,Order!A$23:T$1164,4,TRUE)</f>
        <v>#N/A</v>
      </c>
      <c r="I47" s="462" t="e">
        <f>VLOOKUP(43,Order!A$23:T$1164,2,TRUE)</f>
        <v>#N/A</v>
      </c>
      <c r="J47" s="462" t="e">
        <f>VLOOKUP(43,Order!A$23:T$1164,17,TRUE)</f>
        <v>#N/A</v>
      </c>
      <c r="K47" s="462" t="e">
        <f>VLOOKUP(43,Order!A$23:T$1164,3,TRUE)</f>
        <v>#N/A</v>
      </c>
      <c r="L47" s="462"/>
      <c r="S47" s="463"/>
      <c r="T47" s="463"/>
    </row>
    <row r="48" spans="1:20" x14ac:dyDescent="0.15">
      <c r="A48" s="468" t="e">
        <f t="shared" si="5"/>
        <v>#N/A</v>
      </c>
      <c r="B48" s="472" t="e">
        <f t="shared" si="6"/>
        <v>#N/A</v>
      </c>
      <c r="C48" s="470" t="e">
        <f t="shared" si="7"/>
        <v>#N/A</v>
      </c>
      <c r="D48" s="471" t="e">
        <f t="shared" si="8"/>
        <v>#N/A</v>
      </c>
      <c r="H48" s="462" t="e">
        <f>VLOOKUP(44,Order!A$23:T$1164,4,TRUE)</f>
        <v>#N/A</v>
      </c>
      <c r="I48" s="462" t="e">
        <f>VLOOKUP(44,Order!A$23:T$1164,2,TRUE)</f>
        <v>#N/A</v>
      </c>
      <c r="J48" s="462" t="e">
        <f>VLOOKUP(44,Order!A$23:T$1164,17,TRUE)</f>
        <v>#N/A</v>
      </c>
      <c r="K48" s="462" t="e">
        <f>VLOOKUP(44,Order!A$23:T$1164,3,TRUE)</f>
        <v>#N/A</v>
      </c>
      <c r="L48" s="462"/>
      <c r="S48" s="463"/>
      <c r="T48" s="463"/>
    </row>
    <row r="49" spans="1:20" x14ac:dyDescent="0.15">
      <c r="A49" s="468" t="e">
        <f t="shared" si="5"/>
        <v>#N/A</v>
      </c>
      <c r="B49" s="472" t="e">
        <f t="shared" si="6"/>
        <v>#N/A</v>
      </c>
      <c r="C49" s="470" t="e">
        <f t="shared" si="7"/>
        <v>#N/A</v>
      </c>
      <c r="D49" s="471" t="e">
        <f t="shared" si="8"/>
        <v>#N/A</v>
      </c>
      <c r="H49" s="462" t="e">
        <f>VLOOKUP(45,Order!A$23:T$1164,4,TRUE)</f>
        <v>#N/A</v>
      </c>
      <c r="I49" s="462" t="e">
        <f>VLOOKUP(45,Order!A$23:T$1164,2,TRUE)</f>
        <v>#N/A</v>
      </c>
      <c r="J49" s="462" t="e">
        <f>VLOOKUP(45,Order!A$23:T$1164,17,TRUE)</f>
        <v>#N/A</v>
      </c>
      <c r="K49" s="462" t="e">
        <f>VLOOKUP(45,Order!A$23:T$1164,3,TRUE)</f>
        <v>#N/A</v>
      </c>
      <c r="L49" s="462"/>
      <c r="S49" s="463"/>
      <c r="T49" s="463"/>
    </row>
    <row r="50" spans="1:20" x14ac:dyDescent="0.15">
      <c r="A50" s="468" t="e">
        <f t="shared" si="5"/>
        <v>#N/A</v>
      </c>
      <c r="B50" s="472" t="e">
        <f t="shared" si="6"/>
        <v>#N/A</v>
      </c>
      <c r="C50" s="470" t="e">
        <f t="shared" si="7"/>
        <v>#N/A</v>
      </c>
      <c r="D50" s="471" t="e">
        <f t="shared" si="8"/>
        <v>#N/A</v>
      </c>
      <c r="H50" s="462" t="e">
        <f>VLOOKUP(46,Order!A$23:T$1164,4,TRUE)</f>
        <v>#N/A</v>
      </c>
      <c r="I50" s="462" t="e">
        <f>VLOOKUP(46,Order!A$23:T$1164,2,TRUE)</f>
        <v>#N/A</v>
      </c>
      <c r="J50" s="462" t="e">
        <f>VLOOKUP(46,Order!A$23:T$1164,17,TRUE)</f>
        <v>#N/A</v>
      </c>
      <c r="K50" s="462" t="e">
        <f>VLOOKUP(46,Order!A$23:T$1164,3,TRUE)</f>
        <v>#N/A</v>
      </c>
      <c r="L50" s="462"/>
    </row>
    <row r="51" spans="1:20" x14ac:dyDescent="0.15">
      <c r="A51" s="468" t="e">
        <f t="shared" si="5"/>
        <v>#N/A</v>
      </c>
      <c r="B51" s="472" t="e">
        <f t="shared" si="6"/>
        <v>#N/A</v>
      </c>
      <c r="C51" s="470" t="e">
        <f t="shared" si="7"/>
        <v>#N/A</v>
      </c>
      <c r="D51" s="471" t="e">
        <f t="shared" si="8"/>
        <v>#N/A</v>
      </c>
      <c r="H51" s="462" t="e">
        <f>VLOOKUP(47,Order!A$23:T$1164,4,TRUE)</f>
        <v>#N/A</v>
      </c>
      <c r="I51" s="462" t="e">
        <f>VLOOKUP(47,Order!A$23:T$1164,2,TRUE)</f>
        <v>#N/A</v>
      </c>
      <c r="J51" s="462" t="e">
        <f>VLOOKUP(47,Order!A$23:T$1164,17,TRUE)</f>
        <v>#N/A</v>
      </c>
      <c r="K51" s="462" t="e">
        <f>VLOOKUP(47,Order!A$23:T$1164,3,TRUE)</f>
        <v>#N/A</v>
      </c>
      <c r="L51" s="462"/>
    </row>
    <row r="52" spans="1:20" x14ac:dyDescent="0.15">
      <c r="A52" s="468" t="e">
        <f t="shared" si="5"/>
        <v>#N/A</v>
      </c>
      <c r="B52" s="472" t="e">
        <f t="shared" si="6"/>
        <v>#N/A</v>
      </c>
      <c r="C52" s="470" t="e">
        <f t="shared" si="7"/>
        <v>#N/A</v>
      </c>
      <c r="D52" s="471" t="e">
        <f t="shared" si="8"/>
        <v>#N/A</v>
      </c>
      <c r="H52" s="462" t="e">
        <f>VLOOKUP(48,Order!A$23:T$1164,4,TRUE)</f>
        <v>#N/A</v>
      </c>
      <c r="I52" s="462" t="e">
        <f>VLOOKUP(48,Order!A$23:T$1164,2,TRUE)</f>
        <v>#N/A</v>
      </c>
      <c r="J52" s="462" t="e">
        <f>VLOOKUP(48,Order!A$23:T$1164,17,TRUE)</f>
        <v>#N/A</v>
      </c>
      <c r="K52" s="462" t="e">
        <f>VLOOKUP(48,Order!A$23:T$1164,3,TRUE)</f>
        <v>#N/A</v>
      </c>
      <c r="L52" s="462"/>
    </row>
    <row r="53" spans="1:20" x14ac:dyDescent="0.15">
      <c r="A53" s="468" t="e">
        <f t="shared" si="5"/>
        <v>#N/A</v>
      </c>
      <c r="B53" s="472" t="e">
        <f t="shared" si="6"/>
        <v>#N/A</v>
      </c>
      <c r="C53" s="470" t="e">
        <f t="shared" si="7"/>
        <v>#N/A</v>
      </c>
      <c r="D53" s="471" t="e">
        <f t="shared" si="8"/>
        <v>#N/A</v>
      </c>
      <c r="H53" s="462" t="e">
        <f>VLOOKUP(49,Order!A$23:T$1164,4,TRUE)</f>
        <v>#N/A</v>
      </c>
      <c r="I53" s="462" t="e">
        <f>VLOOKUP(49,Order!A$23:T$1164,2,TRUE)</f>
        <v>#N/A</v>
      </c>
      <c r="J53" s="462" t="e">
        <f>VLOOKUP(49,Order!A$23:T$1164,17,TRUE)</f>
        <v>#N/A</v>
      </c>
      <c r="K53" s="462" t="e">
        <f>VLOOKUP(49,Order!A$23:T$1164,3,TRUE)</f>
        <v>#N/A</v>
      </c>
      <c r="L53" s="462"/>
    </row>
    <row r="54" spans="1:20" x14ac:dyDescent="0.15">
      <c r="A54" s="468" t="e">
        <f t="shared" si="5"/>
        <v>#N/A</v>
      </c>
      <c r="B54" s="472" t="e">
        <f t="shared" si="6"/>
        <v>#N/A</v>
      </c>
      <c r="C54" s="470" t="e">
        <f t="shared" si="7"/>
        <v>#N/A</v>
      </c>
      <c r="D54" s="471" t="e">
        <f t="shared" si="8"/>
        <v>#N/A</v>
      </c>
      <c r="H54" s="462" t="e">
        <f>VLOOKUP(50,Order!A$23:T$1164,4,TRUE)</f>
        <v>#N/A</v>
      </c>
      <c r="I54" s="462" t="e">
        <f>VLOOKUP(50,Order!A$23:T$1164,2,TRUE)</f>
        <v>#N/A</v>
      </c>
      <c r="J54" s="462" t="e">
        <f>VLOOKUP(50,Order!A$23:T$1164,17,TRUE)</f>
        <v>#N/A</v>
      </c>
      <c r="K54" s="462" t="e">
        <f>VLOOKUP(50,Order!A$23:T$1164,3,TRUE)</f>
        <v>#N/A</v>
      </c>
      <c r="L54" s="462"/>
    </row>
    <row r="55" spans="1:20" x14ac:dyDescent="0.15">
      <c r="A55" s="468" t="e">
        <f t="shared" si="5"/>
        <v>#N/A</v>
      </c>
      <c r="B55" s="472" t="e">
        <f t="shared" si="6"/>
        <v>#N/A</v>
      </c>
      <c r="C55" s="470" t="e">
        <f t="shared" si="7"/>
        <v>#N/A</v>
      </c>
      <c r="D55" s="471" t="e">
        <f t="shared" si="8"/>
        <v>#N/A</v>
      </c>
      <c r="H55" s="462" t="e">
        <f>VLOOKUP(51,Order!A$23:T$1164,4,TRUE)</f>
        <v>#N/A</v>
      </c>
      <c r="I55" s="462" t="e">
        <f>VLOOKUP(51,Order!A$23:T$1164,2,TRUE)</f>
        <v>#N/A</v>
      </c>
      <c r="J55" s="462" t="e">
        <f>VLOOKUP(51,Order!A$23:T$1164,17,TRUE)</f>
        <v>#N/A</v>
      </c>
      <c r="K55" s="462" t="e">
        <f>VLOOKUP(51,Order!A$23:T$1164,3,TRUE)</f>
        <v>#N/A</v>
      </c>
      <c r="L55" s="462"/>
    </row>
    <row r="56" spans="1:20" x14ac:dyDescent="0.15">
      <c r="A56" s="468" t="e">
        <f t="shared" si="5"/>
        <v>#N/A</v>
      </c>
      <c r="B56" s="472" t="e">
        <f t="shared" si="6"/>
        <v>#N/A</v>
      </c>
      <c r="C56" s="470" t="e">
        <f t="shared" si="7"/>
        <v>#N/A</v>
      </c>
      <c r="D56" s="471" t="e">
        <f t="shared" si="8"/>
        <v>#N/A</v>
      </c>
      <c r="H56" s="462" t="e">
        <f>VLOOKUP(52,Order!A$23:T$1164,4,TRUE)</f>
        <v>#N/A</v>
      </c>
      <c r="I56" s="462" t="e">
        <f>VLOOKUP(52,Order!A$23:T$1164,2,TRUE)</f>
        <v>#N/A</v>
      </c>
      <c r="J56" s="462" t="e">
        <f>VLOOKUP(52,Order!A$23:T$1164,17,TRUE)</f>
        <v>#N/A</v>
      </c>
      <c r="K56" s="462" t="e">
        <f>VLOOKUP(52,Order!A$23:T$1164,3,TRUE)</f>
        <v>#N/A</v>
      </c>
      <c r="L56" s="462"/>
    </row>
    <row r="57" spans="1:20" x14ac:dyDescent="0.15">
      <c r="A57" s="468" t="e">
        <f t="shared" si="5"/>
        <v>#N/A</v>
      </c>
      <c r="B57" s="472" t="e">
        <f t="shared" si="6"/>
        <v>#N/A</v>
      </c>
      <c r="C57" s="470" t="e">
        <f t="shared" si="7"/>
        <v>#N/A</v>
      </c>
      <c r="D57" s="471" t="e">
        <f t="shared" si="8"/>
        <v>#N/A</v>
      </c>
      <c r="H57" s="462" t="e">
        <f>VLOOKUP(53,Order!A$23:T$1164,4,TRUE)</f>
        <v>#N/A</v>
      </c>
      <c r="I57" s="462" t="e">
        <f>VLOOKUP(53,Order!A$23:T$1164,2,TRUE)</f>
        <v>#N/A</v>
      </c>
      <c r="J57" s="462" t="e">
        <f>VLOOKUP(53,Order!A$23:T$1164,17,TRUE)</f>
        <v>#N/A</v>
      </c>
      <c r="K57" s="462" t="e">
        <f>VLOOKUP(53,Order!A$23:T$1164,3,TRUE)</f>
        <v>#N/A</v>
      </c>
      <c r="L57" s="462"/>
    </row>
    <row r="58" spans="1:20" x14ac:dyDescent="0.15">
      <c r="A58" s="468" t="e">
        <f t="shared" si="5"/>
        <v>#N/A</v>
      </c>
      <c r="B58" s="472" t="e">
        <f t="shared" si="6"/>
        <v>#N/A</v>
      </c>
      <c r="C58" s="470" t="e">
        <f t="shared" si="7"/>
        <v>#N/A</v>
      </c>
      <c r="D58" s="471" t="e">
        <f t="shared" si="8"/>
        <v>#N/A</v>
      </c>
      <c r="H58" s="462" t="e">
        <f>VLOOKUP(54,Order!A$23:T$1164,4,TRUE)</f>
        <v>#N/A</v>
      </c>
      <c r="I58" s="462" t="e">
        <f>VLOOKUP(54,Order!A$23:T$1164,2,TRUE)</f>
        <v>#N/A</v>
      </c>
      <c r="J58" s="462" t="e">
        <f>VLOOKUP(54,Order!A$23:T$1164,17,TRUE)</f>
        <v>#N/A</v>
      </c>
      <c r="K58" s="462" t="e">
        <f>VLOOKUP(54,Order!A$23:T$1164,3,TRUE)</f>
        <v>#N/A</v>
      </c>
      <c r="L58" s="462"/>
    </row>
    <row r="59" spans="1:20" x14ac:dyDescent="0.15">
      <c r="A59" s="468" t="e">
        <f t="shared" si="5"/>
        <v>#N/A</v>
      </c>
      <c r="B59" s="472" t="e">
        <f t="shared" si="6"/>
        <v>#N/A</v>
      </c>
      <c r="C59" s="470" t="e">
        <f t="shared" si="7"/>
        <v>#N/A</v>
      </c>
      <c r="D59" s="471" t="e">
        <f t="shared" si="8"/>
        <v>#N/A</v>
      </c>
      <c r="H59" s="462" t="e">
        <f>VLOOKUP(55,Order!A$23:T$1164,4,TRUE)</f>
        <v>#N/A</v>
      </c>
      <c r="I59" s="462" t="e">
        <f>VLOOKUP(55,Order!A$23:T$1164,2,TRUE)</f>
        <v>#N/A</v>
      </c>
      <c r="J59" s="462" t="e">
        <f>VLOOKUP(55,Order!A$23:T$1164,17,TRUE)</f>
        <v>#N/A</v>
      </c>
      <c r="K59" s="462" t="e">
        <f>VLOOKUP(55,Order!A$23:T$1164,3,TRUE)</f>
        <v>#N/A</v>
      </c>
      <c r="L59" s="462"/>
    </row>
    <row r="60" spans="1:20" x14ac:dyDescent="0.15">
      <c r="A60" s="468" t="e">
        <f t="shared" si="5"/>
        <v>#N/A</v>
      </c>
      <c r="B60" s="472" t="e">
        <f t="shared" si="6"/>
        <v>#N/A</v>
      </c>
      <c r="C60" s="470" t="e">
        <f t="shared" si="7"/>
        <v>#N/A</v>
      </c>
      <c r="D60" s="471" t="e">
        <f t="shared" si="8"/>
        <v>#N/A</v>
      </c>
      <c r="H60" s="462" t="e">
        <f>VLOOKUP(56,Order!A$23:T$1164,4,TRUE)</f>
        <v>#N/A</v>
      </c>
      <c r="I60" s="462" t="e">
        <f>VLOOKUP(56,Order!A$23:T$1164,2,TRUE)</f>
        <v>#N/A</v>
      </c>
      <c r="J60" s="462" t="e">
        <f>VLOOKUP(56,Order!A$23:T$1164,17,TRUE)</f>
        <v>#N/A</v>
      </c>
      <c r="K60" s="462" t="e">
        <f>VLOOKUP(56,Order!A$23:T$1164,3,TRUE)</f>
        <v>#N/A</v>
      </c>
      <c r="L60" s="462"/>
    </row>
    <row r="61" spans="1:20" x14ac:dyDescent="0.15">
      <c r="A61" s="468" t="e">
        <f t="shared" si="5"/>
        <v>#N/A</v>
      </c>
      <c r="B61" s="472" t="e">
        <f t="shared" si="6"/>
        <v>#N/A</v>
      </c>
      <c r="C61" s="470" t="e">
        <f t="shared" si="7"/>
        <v>#N/A</v>
      </c>
      <c r="D61" s="471" t="e">
        <f t="shared" si="8"/>
        <v>#N/A</v>
      </c>
      <c r="H61" s="462" t="e">
        <f>VLOOKUP(57,Order!A$23:T$1164,4,TRUE)</f>
        <v>#N/A</v>
      </c>
      <c r="I61" s="462" t="e">
        <f>VLOOKUP(57,Order!A$23:T$1164,2,TRUE)</f>
        <v>#N/A</v>
      </c>
      <c r="J61" s="462" t="e">
        <f>VLOOKUP(57,Order!A$23:T$1164,17,TRUE)</f>
        <v>#N/A</v>
      </c>
      <c r="K61" s="462" t="e">
        <f>VLOOKUP(57,Order!A$23:T$1164,3,TRUE)</f>
        <v>#N/A</v>
      </c>
      <c r="L61" s="462"/>
    </row>
    <row r="62" spans="1:20" x14ac:dyDescent="0.15">
      <c r="A62" s="468" t="e">
        <f t="shared" si="5"/>
        <v>#N/A</v>
      </c>
      <c r="B62" s="472" t="e">
        <f t="shared" si="6"/>
        <v>#N/A</v>
      </c>
      <c r="C62" s="470" t="e">
        <f t="shared" si="7"/>
        <v>#N/A</v>
      </c>
      <c r="D62" s="471" t="e">
        <f t="shared" si="8"/>
        <v>#N/A</v>
      </c>
      <c r="H62" s="462" t="e">
        <f>VLOOKUP(58,Order!A$23:T$1164,4,TRUE)</f>
        <v>#N/A</v>
      </c>
      <c r="I62" s="462" t="e">
        <f>VLOOKUP(58,Order!A$23:T$1164,2,TRUE)</f>
        <v>#N/A</v>
      </c>
      <c r="J62" s="462" t="e">
        <f>VLOOKUP(58,Order!A$23:T$1164,17,TRUE)</f>
        <v>#N/A</v>
      </c>
      <c r="K62" s="462" t="e">
        <f>VLOOKUP(58,Order!A$23:T$1164,3,TRUE)</f>
        <v>#N/A</v>
      </c>
      <c r="L62" s="462"/>
    </row>
    <row r="63" spans="1:20" x14ac:dyDescent="0.15">
      <c r="A63" s="468" t="e">
        <f t="shared" si="5"/>
        <v>#N/A</v>
      </c>
      <c r="B63" s="472" t="e">
        <f t="shared" si="6"/>
        <v>#N/A</v>
      </c>
      <c r="C63" s="470" t="e">
        <f t="shared" si="7"/>
        <v>#N/A</v>
      </c>
      <c r="D63" s="471" t="e">
        <f t="shared" si="8"/>
        <v>#N/A</v>
      </c>
      <c r="H63" s="462" t="e">
        <f>VLOOKUP(59,Order!A$23:T$1164,4,TRUE)</f>
        <v>#N/A</v>
      </c>
      <c r="I63" s="462" t="e">
        <f>VLOOKUP(59,Order!A$23:T$1164,2,TRUE)</f>
        <v>#N/A</v>
      </c>
      <c r="J63" s="462" t="e">
        <f>VLOOKUP(59,Order!A$23:T$1164,17,TRUE)</f>
        <v>#N/A</v>
      </c>
      <c r="K63" s="462" t="e">
        <f>VLOOKUP(59,Order!A$23:T$1164,3,TRUE)</f>
        <v>#N/A</v>
      </c>
      <c r="L63" s="462"/>
    </row>
    <row r="64" spans="1:20" x14ac:dyDescent="0.15">
      <c r="A64" s="468" t="e">
        <f t="shared" si="5"/>
        <v>#N/A</v>
      </c>
      <c r="B64" s="472" t="e">
        <f t="shared" si="6"/>
        <v>#N/A</v>
      </c>
      <c r="C64" s="470" t="e">
        <f t="shared" si="7"/>
        <v>#N/A</v>
      </c>
      <c r="D64" s="471" t="e">
        <f t="shared" si="8"/>
        <v>#N/A</v>
      </c>
      <c r="H64" s="462" t="e">
        <f>VLOOKUP(60,Order!A$23:T$1164,4,TRUE)</f>
        <v>#N/A</v>
      </c>
      <c r="I64" s="462" t="e">
        <f>VLOOKUP(60,Order!A$23:T$1164,2,TRUE)</f>
        <v>#N/A</v>
      </c>
      <c r="J64" s="462" t="e">
        <f>VLOOKUP(60,Order!A$23:T$1164,17,TRUE)</f>
        <v>#N/A</v>
      </c>
      <c r="K64" s="462" t="e">
        <f>VLOOKUP(60,Order!A$23:T$1164,3,TRUE)</f>
        <v>#N/A</v>
      </c>
      <c r="L64" s="462"/>
    </row>
    <row r="65" spans="1:12" x14ac:dyDescent="0.15">
      <c r="A65" s="468" t="e">
        <f t="shared" si="5"/>
        <v>#N/A</v>
      </c>
      <c r="B65" s="472" t="e">
        <f t="shared" si="6"/>
        <v>#N/A</v>
      </c>
      <c r="C65" s="470" t="e">
        <f t="shared" si="7"/>
        <v>#N/A</v>
      </c>
      <c r="D65" s="471" t="e">
        <f t="shared" si="8"/>
        <v>#N/A</v>
      </c>
      <c r="H65" s="462" t="e">
        <f>VLOOKUP(61,Order!A$23:T$1164,4,TRUE)</f>
        <v>#N/A</v>
      </c>
      <c r="I65" s="462" t="e">
        <f>VLOOKUP(61,Order!A$23:T$1164,2,TRUE)</f>
        <v>#N/A</v>
      </c>
      <c r="J65" s="462" t="e">
        <f>VLOOKUP(61,Order!A$23:T$1164,17,TRUE)</f>
        <v>#N/A</v>
      </c>
      <c r="K65" s="462" t="e">
        <f>VLOOKUP(61,Order!A$23:T$1164,3,TRUE)</f>
        <v>#N/A</v>
      </c>
      <c r="L65" s="462"/>
    </row>
    <row r="66" spans="1:12" x14ac:dyDescent="0.15">
      <c r="A66" s="468" t="e">
        <f t="shared" si="5"/>
        <v>#N/A</v>
      </c>
      <c r="B66" s="472" t="e">
        <f t="shared" si="6"/>
        <v>#N/A</v>
      </c>
      <c r="C66" s="470" t="e">
        <f t="shared" si="7"/>
        <v>#N/A</v>
      </c>
      <c r="D66" s="471" t="e">
        <f t="shared" si="8"/>
        <v>#N/A</v>
      </c>
      <c r="H66" s="462" t="e">
        <f>VLOOKUP(62,Order!A$23:T$1164,4,TRUE)</f>
        <v>#N/A</v>
      </c>
      <c r="I66" s="462" t="e">
        <f>VLOOKUP(62,Order!A$23:T$1164,2,TRUE)</f>
        <v>#N/A</v>
      </c>
      <c r="J66" s="462" t="e">
        <f>VLOOKUP(62,Order!A$23:T$1164,17,TRUE)</f>
        <v>#N/A</v>
      </c>
      <c r="K66" s="462" t="e">
        <f>VLOOKUP(62,Order!A$23:T$1164,3,TRUE)</f>
        <v>#N/A</v>
      </c>
      <c r="L66" s="462"/>
    </row>
    <row r="67" spans="1:12" x14ac:dyDescent="0.15">
      <c r="A67" s="468" t="e">
        <f t="shared" si="5"/>
        <v>#N/A</v>
      </c>
      <c r="B67" s="472" t="e">
        <f t="shared" si="6"/>
        <v>#N/A</v>
      </c>
      <c r="C67" s="470" t="e">
        <f t="shared" si="7"/>
        <v>#N/A</v>
      </c>
      <c r="D67" s="471" t="e">
        <f t="shared" si="8"/>
        <v>#N/A</v>
      </c>
      <c r="H67" s="462" t="e">
        <f>VLOOKUP(63,Order!A$23:T$1164,4,TRUE)</f>
        <v>#N/A</v>
      </c>
      <c r="I67" s="462" t="e">
        <f>VLOOKUP(63,Order!A$23:T$1164,2,TRUE)</f>
        <v>#N/A</v>
      </c>
      <c r="J67" s="462" t="e">
        <f>VLOOKUP(63,Order!A$23:T$1164,17,TRUE)</f>
        <v>#N/A</v>
      </c>
      <c r="K67" s="462" t="e">
        <f>VLOOKUP(63,Order!A$23:T$1164,3,TRUE)</f>
        <v>#N/A</v>
      </c>
      <c r="L67" s="462"/>
    </row>
    <row r="68" spans="1:12" x14ac:dyDescent="0.15">
      <c r="A68" s="468" t="e">
        <f t="shared" si="5"/>
        <v>#N/A</v>
      </c>
      <c r="B68" s="472" t="e">
        <f t="shared" si="6"/>
        <v>#N/A</v>
      </c>
      <c r="C68" s="470" t="e">
        <f t="shared" si="7"/>
        <v>#N/A</v>
      </c>
      <c r="D68" s="471" t="e">
        <f t="shared" si="8"/>
        <v>#N/A</v>
      </c>
      <c r="H68" s="462" t="e">
        <f>VLOOKUP(64,Order!A$23:T$1164,4,TRUE)</f>
        <v>#N/A</v>
      </c>
      <c r="I68" s="462" t="e">
        <f>VLOOKUP(64,Order!A$23:T$1164,2,TRUE)</f>
        <v>#N/A</v>
      </c>
      <c r="J68" s="462" t="e">
        <f>VLOOKUP(64,Order!A$23:T$1164,17,TRUE)</f>
        <v>#N/A</v>
      </c>
      <c r="K68" s="462" t="e">
        <f>VLOOKUP(64,Order!A$23:T$1164,3,TRUE)</f>
        <v>#N/A</v>
      </c>
      <c r="L68" s="462"/>
    </row>
    <row r="69" spans="1:12" x14ac:dyDescent="0.15">
      <c r="A69" s="468" t="e">
        <f t="shared" si="5"/>
        <v>#N/A</v>
      </c>
      <c r="B69" s="472" t="e">
        <f t="shared" si="6"/>
        <v>#N/A</v>
      </c>
      <c r="C69" s="470" t="e">
        <f t="shared" si="7"/>
        <v>#N/A</v>
      </c>
      <c r="D69" s="471" t="e">
        <f t="shared" si="8"/>
        <v>#N/A</v>
      </c>
      <c r="H69" s="462" t="e">
        <f>VLOOKUP(65,Order!A$23:T$1164,4,TRUE)</f>
        <v>#N/A</v>
      </c>
      <c r="I69" s="462" t="e">
        <f>VLOOKUP(65,Order!A$23:T$1164,2,TRUE)</f>
        <v>#N/A</v>
      </c>
      <c r="J69" s="462" t="e">
        <f>VLOOKUP(65,Order!A$23:T$1164,17,TRUE)</f>
        <v>#N/A</v>
      </c>
      <c r="K69" s="462" t="e">
        <f>VLOOKUP(65,Order!A$23:T$1164,3,TRUE)</f>
        <v>#N/A</v>
      </c>
      <c r="L69" s="462"/>
    </row>
    <row r="70" spans="1:12" x14ac:dyDescent="0.15">
      <c r="A70" s="468" t="e">
        <f t="shared" ref="A70:A101" si="9">IF(J70=0,"",IF(J70=J69,"",J70))</f>
        <v>#N/A</v>
      </c>
      <c r="B70" s="472" t="e">
        <f t="shared" ref="B70:B101" si="10">IF(H70=H69,"",H70)</f>
        <v>#N/A</v>
      </c>
      <c r="C70" s="470" t="e">
        <f t="shared" ref="C70:C101" si="11">IF(H70=H69,"",I70)</f>
        <v>#N/A</v>
      </c>
      <c r="D70" s="471" t="e">
        <f t="shared" ref="D70:D101" si="12">IF(H70=H69,"",K70)</f>
        <v>#N/A</v>
      </c>
      <c r="H70" s="462" t="e">
        <f>VLOOKUP(66,Order!A$23:T$1164,4,TRUE)</f>
        <v>#N/A</v>
      </c>
      <c r="I70" s="462" t="e">
        <f>VLOOKUP(66,Order!A$23:T$1164,2,TRUE)</f>
        <v>#N/A</v>
      </c>
      <c r="J70" s="462" t="e">
        <f>VLOOKUP(66,Order!A$23:T$1164,17,TRUE)</f>
        <v>#N/A</v>
      </c>
      <c r="K70" s="462" t="e">
        <f>VLOOKUP(66,Order!A$23:T$1164,3,TRUE)</f>
        <v>#N/A</v>
      </c>
      <c r="L70" s="462"/>
    </row>
    <row r="71" spans="1:12" x14ac:dyDescent="0.15">
      <c r="A71" s="468" t="e">
        <f t="shared" si="9"/>
        <v>#N/A</v>
      </c>
      <c r="B71" s="472" t="e">
        <f t="shared" si="10"/>
        <v>#N/A</v>
      </c>
      <c r="C71" s="470" t="e">
        <f t="shared" si="11"/>
        <v>#N/A</v>
      </c>
      <c r="D71" s="471" t="e">
        <f t="shared" si="12"/>
        <v>#N/A</v>
      </c>
      <c r="H71" s="462" t="e">
        <f>VLOOKUP(67,Order!A$23:T$1164,4,TRUE)</f>
        <v>#N/A</v>
      </c>
      <c r="I71" s="462" t="e">
        <f>VLOOKUP(67,Order!A$23:T$1164,2,TRUE)</f>
        <v>#N/A</v>
      </c>
      <c r="J71" s="462" t="e">
        <f>VLOOKUP(67,Order!A$23:T$1164,17,TRUE)</f>
        <v>#N/A</v>
      </c>
      <c r="K71" s="462" t="e">
        <f>VLOOKUP(67,Order!A$23:T$1164,3,TRUE)</f>
        <v>#N/A</v>
      </c>
      <c r="L71" s="462"/>
    </row>
    <row r="72" spans="1:12" x14ac:dyDescent="0.15">
      <c r="A72" s="468" t="e">
        <f t="shared" si="9"/>
        <v>#N/A</v>
      </c>
      <c r="B72" s="472" t="e">
        <f t="shared" si="10"/>
        <v>#N/A</v>
      </c>
      <c r="C72" s="470" t="e">
        <f t="shared" si="11"/>
        <v>#N/A</v>
      </c>
      <c r="D72" s="471" t="e">
        <f t="shared" si="12"/>
        <v>#N/A</v>
      </c>
      <c r="H72" s="462" t="e">
        <f>VLOOKUP(68,Order!A$23:T$1164,4,TRUE)</f>
        <v>#N/A</v>
      </c>
      <c r="I72" s="462" t="e">
        <f>VLOOKUP(68,Order!A$23:T$1164,2,TRUE)</f>
        <v>#N/A</v>
      </c>
      <c r="J72" s="462" t="e">
        <f>VLOOKUP(68,Order!A$23:T$1164,17,TRUE)</f>
        <v>#N/A</v>
      </c>
      <c r="K72" s="462" t="e">
        <f>VLOOKUP(68,Order!A$23:T$1164,3,TRUE)</f>
        <v>#N/A</v>
      </c>
      <c r="L72" s="462"/>
    </row>
    <row r="73" spans="1:12" x14ac:dyDescent="0.15">
      <c r="A73" s="468" t="e">
        <f t="shared" si="9"/>
        <v>#N/A</v>
      </c>
      <c r="B73" s="472" t="e">
        <f t="shared" si="10"/>
        <v>#N/A</v>
      </c>
      <c r="C73" s="470" t="e">
        <f t="shared" si="11"/>
        <v>#N/A</v>
      </c>
      <c r="D73" s="471" t="e">
        <f t="shared" si="12"/>
        <v>#N/A</v>
      </c>
      <c r="H73" s="462" t="e">
        <f>VLOOKUP(69,Order!A$23:T$1164,4,TRUE)</f>
        <v>#N/A</v>
      </c>
      <c r="I73" s="462" t="e">
        <f>VLOOKUP(69,Order!A$23:T$1164,2,TRUE)</f>
        <v>#N/A</v>
      </c>
      <c r="J73" s="462" t="e">
        <f>VLOOKUP(69,Order!A$23:T$1164,17,TRUE)</f>
        <v>#N/A</v>
      </c>
      <c r="K73" s="462" t="e">
        <f>VLOOKUP(69,Order!A$23:T$1164,3,TRUE)</f>
        <v>#N/A</v>
      </c>
      <c r="L73" s="462"/>
    </row>
    <row r="74" spans="1:12" x14ac:dyDescent="0.15">
      <c r="A74" s="468" t="e">
        <f t="shared" si="9"/>
        <v>#N/A</v>
      </c>
      <c r="B74" s="472" t="e">
        <f t="shared" si="10"/>
        <v>#N/A</v>
      </c>
      <c r="C74" s="470" t="e">
        <f t="shared" si="11"/>
        <v>#N/A</v>
      </c>
      <c r="D74" s="471" t="e">
        <f t="shared" si="12"/>
        <v>#N/A</v>
      </c>
      <c r="H74" s="462" t="e">
        <f>VLOOKUP(70,Order!A$23:T$1164,4,TRUE)</f>
        <v>#N/A</v>
      </c>
      <c r="I74" s="462" t="e">
        <f>VLOOKUP(70,Order!A$23:T$1164,2,TRUE)</f>
        <v>#N/A</v>
      </c>
      <c r="J74" s="462" t="e">
        <f>VLOOKUP(70,Order!A$23:T$1164,17,TRUE)</f>
        <v>#N/A</v>
      </c>
      <c r="K74" s="462" t="e">
        <f>VLOOKUP(70,Order!A$23:T$1164,3,TRUE)</f>
        <v>#N/A</v>
      </c>
      <c r="L74" s="462"/>
    </row>
    <row r="75" spans="1:12" x14ac:dyDescent="0.15">
      <c r="A75" s="468" t="e">
        <f t="shared" si="9"/>
        <v>#N/A</v>
      </c>
      <c r="B75" s="472" t="e">
        <f t="shared" si="10"/>
        <v>#N/A</v>
      </c>
      <c r="C75" s="470" t="e">
        <f t="shared" si="11"/>
        <v>#N/A</v>
      </c>
      <c r="D75" s="471" t="e">
        <f t="shared" si="12"/>
        <v>#N/A</v>
      </c>
      <c r="H75" s="462" t="e">
        <f>VLOOKUP(71,Order!A$23:T$1164,4,TRUE)</f>
        <v>#N/A</v>
      </c>
      <c r="I75" s="462" t="e">
        <f>VLOOKUP(71,Order!A$23:T$1164,2,TRUE)</f>
        <v>#N/A</v>
      </c>
      <c r="J75" s="462" t="e">
        <f>VLOOKUP(71,Order!A$23:T$1164,17,TRUE)</f>
        <v>#N/A</v>
      </c>
      <c r="K75" s="462" t="e">
        <f>VLOOKUP(71,Order!A$23:T$1164,3,TRUE)</f>
        <v>#N/A</v>
      </c>
      <c r="L75" s="462"/>
    </row>
    <row r="76" spans="1:12" x14ac:dyDescent="0.15">
      <c r="A76" s="468" t="e">
        <f t="shared" si="9"/>
        <v>#N/A</v>
      </c>
      <c r="B76" s="472" t="e">
        <f t="shared" si="10"/>
        <v>#N/A</v>
      </c>
      <c r="C76" s="470" t="e">
        <f t="shared" si="11"/>
        <v>#N/A</v>
      </c>
      <c r="D76" s="471" t="e">
        <f t="shared" si="12"/>
        <v>#N/A</v>
      </c>
      <c r="H76" s="462" t="e">
        <f>VLOOKUP(72,Order!A$23:T$1164,4,TRUE)</f>
        <v>#N/A</v>
      </c>
      <c r="I76" s="462" t="e">
        <f>VLOOKUP(72,Order!A$23:T$1164,2,TRUE)</f>
        <v>#N/A</v>
      </c>
      <c r="J76" s="462" t="e">
        <f>VLOOKUP(72,Order!A$23:T$1164,17,TRUE)</f>
        <v>#N/A</v>
      </c>
      <c r="K76" s="462" t="e">
        <f>VLOOKUP(72,Order!A$23:T$1164,3,TRUE)</f>
        <v>#N/A</v>
      </c>
      <c r="L76" s="462"/>
    </row>
    <row r="77" spans="1:12" x14ac:dyDescent="0.15">
      <c r="A77" s="468" t="e">
        <f t="shared" si="9"/>
        <v>#N/A</v>
      </c>
      <c r="B77" s="472" t="e">
        <f t="shared" si="10"/>
        <v>#N/A</v>
      </c>
      <c r="C77" s="470" t="e">
        <f t="shared" si="11"/>
        <v>#N/A</v>
      </c>
      <c r="D77" s="471" t="e">
        <f t="shared" si="12"/>
        <v>#N/A</v>
      </c>
      <c r="H77" s="462" t="e">
        <f>VLOOKUP(73,Order!A$23:T$1164,4,TRUE)</f>
        <v>#N/A</v>
      </c>
      <c r="I77" s="462" t="e">
        <f>VLOOKUP(73,Order!A$23:T$1164,2,TRUE)</f>
        <v>#N/A</v>
      </c>
      <c r="J77" s="462" t="e">
        <f>VLOOKUP(73,Order!A$23:T$1164,17,TRUE)</f>
        <v>#N/A</v>
      </c>
      <c r="K77" s="462" t="e">
        <f>VLOOKUP(73,Order!A$23:T$1164,3,TRUE)</f>
        <v>#N/A</v>
      </c>
      <c r="L77" s="462"/>
    </row>
    <row r="78" spans="1:12" x14ac:dyDescent="0.15">
      <c r="A78" s="468" t="e">
        <f t="shared" si="9"/>
        <v>#N/A</v>
      </c>
      <c r="B78" s="472" t="e">
        <f t="shared" si="10"/>
        <v>#N/A</v>
      </c>
      <c r="C78" s="470" t="e">
        <f t="shared" si="11"/>
        <v>#N/A</v>
      </c>
      <c r="D78" s="471" t="e">
        <f t="shared" si="12"/>
        <v>#N/A</v>
      </c>
      <c r="H78" s="462" t="e">
        <f>VLOOKUP(74,Order!A$23:T$1164,4,TRUE)</f>
        <v>#N/A</v>
      </c>
      <c r="I78" s="462" t="e">
        <f>VLOOKUP(74,Order!A$23:T$1164,2,TRUE)</f>
        <v>#N/A</v>
      </c>
      <c r="J78" s="462" t="e">
        <f>VLOOKUP(74,Order!A$23:T$1164,17,TRUE)</f>
        <v>#N/A</v>
      </c>
      <c r="K78" s="462" t="e">
        <f>VLOOKUP(74,Order!A$23:T$1164,3,TRUE)</f>
        <v>#N/A</v>
      </c>
      <c r="L78" s="462"/>
    </row>
    <row r="79" spans="1:12" x14ac:dyDescent="0.15">
      <c r="A79" s="468" t="e">
        <f t="shared" si="9"/>
        <v>#N/A</v>
      </c>
      <c r="B79" s="472" t="e">
        <f t="shared" si="10"/>
        <v>#N/A</v>
      </c>
      <c r="C79" s="470" t="e">
        <f t="shared" si="11"/>
        <v>#N/A</v>
      </c>
      <c r="D79" s="471" t="e">
        <f t="shared" si="12"/>
        <v>#N/A</v>
      </c>
      <c r="H79" s="462" t="e">
        <f>VLOOKUP(75,Order!A$23:T$1164,4,TRUE)</f>
        <v>#N/A</v>
      </c>
      <c r="I79" s="462" t="e">
        <f>VLOOKUP(75,Order!A$23:T$1164,2,TRUE)</f>
        <v>#N/A</v>
      </c>
      <c r="J79" s="462" t="e">
        <f>VLOOKUP(75,Order!A$23:T$1164,17,TRUE)</f>
        <v>#N/A</v>
      </c>
      <c r="K79" s="462" t="e">
        <f>VLOOKUP(75,Order!A$23:T$1164,3,TRUE)</f>
        <v>#N/A</v>
      </c>
      <c r="L79" s="462"/>
    </row>
    <row r="80" spans="1:12" x14ac:dyDescent="0.15">
      <c r="A80" s="468" t="e">
        <f t="shared" si="9"/>
        <v>#N/A</v>
      </c>
      <c r="B80" s="472" t="e">
        <f t="shared" si="10"/>
        <v>#N/A</v>
      </c>
      <c r="C80" s="470" t="e">
        <f t="shared" si="11"/>
        <v>#N/A</v>
      </c>
      <c r="D80" s="471" t="e">
        <f t="shared" si="12"/>
        <v>#N/A</v>
      </c>
      <c r="H80" s="462" t="e">
        <f>VLOOKUP(76,Order!A$23:T$1164,4,TRUE)</f>
        <v>#N/A</v>
      </c>
      <c r="I80" s="462" t="e">
        <f>VLOOKUP(76,Order!A$23:T$1164,2,TRUE)</f>
        <v>#N/A</v>
      </c>
      <c r="J80" s="462" t="e">
        <f>VLOOKUP(76,Order!A$23:T$1164,17,TRUE)</f>
        <v>#N/A</v>
      </c>
      <c r="K80" s="462" t="e">
        <f>VLOOKUP(76,Order!A$23:T$1164,3,TRUE)</f>
        <v>#N/A</v>
      </c>
      <c r="L80" s="462"/>
    </row>
    <row r="81" spans="1:12" x14ac:dyDescent="0.15">
      <c r="A81" s="468" t="e">
        <f t="shared" si="9"/>
        <v>#N/A</v>
      </c>
      <c r="B81" s="472" t="e">
        <f t="shared" si="10"/>
        <v>#N/A</v>
      </c>
      <c r="C81" s="470" t="e">
        <f t="shared" si="11"/>
        <v>#N/A</v>
      </c>
      <c r="D81" s="471" t="e">
        <f t="shared" si="12"/>
        <v>#N/A</v>
      </c>
      <c r="H81" s="462" t="e">
        <f>VLOOKUP(77,Order!A$23:T$1164,4,TRUE)</f>
        <v>#N/A</v>
      </c>
      <c r="I81" s="462" t="e">
        <f>VLOOKUP(77,Order!A$23:T$1164,2,TRUE)</f>
        <v>#N/A</v>
      </c>
      <c r="J81" s="462" t="e">
        <f>VLOOKUP(77,Order!A$23:T$1164,17,TRUE)</f>
        <v>#N/A</v>
      </c>
      <c r="K81" s="462" t="e">
        <f>VLOOKUP(77,Order!A$23:T$1164,3,TRUE)</f>
        <v>#N/A</v>
      </c>
      <c r="L81" s="462"/>
    </row>
    <row r="82" spans="1:12" x14ac:dyDescent="0.15">
      <c r="A82" s="468" t="e">
        <f t="shared" si="9"/>
        <v>#N/A</v>
      </c>
      <c r="B82" s="472" t="e">
        <f t="shared" si="10"/>
        <v>#N/A</v>
      </c>
      <c r="C82" s="470" t="e">
        <f t="shared" si="11"/>
        <v>#N/A</v>
      </c>
      <c r="D82" s="471" t="e">
        <f t="shared" si="12"/>
        <v>#N/A</v>
      </c>
      <c r="H82" s="462" t="e">
        <f>VLOOKUP(78,Order!A$23:T$1164,4,TRUE)</f>
        <v>#N/A</v>
      </c>
      <c r="I82" s="462" t="e">
        <f>VLOOKUP(78,Order!A$23:T$1164,2,TRUE)</f>
        <v>#N/A</v>
      </c>
      <c r="J82" s="462" t="e">
        <f>VLOOKUP(78,Order!A$23:T$1164,17,TRUE)</f>
        <v>#N/A</v>
      </c>
      <c r="K82" s="462" t="e">
        <f>VLOOKUP(78,Order!A$23:T$1164,3,TRUE)</f>
        <v>#N/A</v>
      </c>
      <c r="L82" s="462"/>
    </row>
    <row r="83" spans="1:12" x14ac:dyDescent="0.15">
      <c r="A83" s="468" t="e">
        <f t="shared" si="9"/>
        <v>#N/A</v>
      </c>
      <c r="B83" s="472" t="e">
        <f t="shared" si="10"/>
        <v>#N/A</v>
      </c>
      <c r="C83" s="470" t="e">
        <f t="shared" si="11"/>
        <v>#N/A</v>
      </c>
      <c r="D83" s="471" t="e">
        <f t="shared" si="12"/>
        <v>#N/A</v>
      </c>
      <c r="H83" s="462" t="e">
        <f>VLOOKUP(79,Order!A$23:T$1164,4,TRUE)</f>
        <v>#N/A</v>
      </c>
      <c r="I83" s="462" t="e">
        <f>VLOOKUP(79,Order!A$23:T$1164,2,TRUE)</f>
        <v>#N/A</v>
      </c>
      <c r="J83" s="462" t="e">
        <f>VLOOKUP(79,Order!A$23:T$1164,17,TRUE)</f>
        <v>#N/A</v>
      </c>
      <c r="K83" s="462" t="e">
        <f>VLOOKUP(79,Order!A$23:T$1164,3,TRUE)</f>
        <v>#N/A</v>
      </c>
      <c r="L83" s="462"/>
    </row>
    <row r="84" spans="1:12" x14ac:dyDescent="0.15">
      <c r="A84" s="468" t="e">
        <f t="shared" si="9"/>
        <v>#N/A</v>
      </c>
      <c r="B84" s="472" t="e">
        <f t="shared" si="10"/>
        <v>#N/A</v>
      </c>
      <c r="C84" s="470" t="e">
        <f t="shared" si="11"/>
        <v>#N/A</v>
      </c>
      <c r="D84" s="471" t="e">
        <f t="shared" si="12"/>
        <v>#N/A</v>
      </c>
      <c r="H84" s="462" t="e">
        <f>VLOOKUP(80,Order!A$23:T$1164,4,TRUE)</f>
        <v>#N/A</v>
      </c>
      <c r="I84" s="462" t="e">
        <f>VLOOKUP(80,Order!A$23:T$1164,2,TRUE)</f>
        <v>#N/A</v>
      </c>
      <c r="J84" s="462" t="e">
        <f>VLOOKUP(80,Order!A$23:T$1164,17,TRUE)</f>
        <v>#N/A</v>
      </c>
      <c r="K84" s="462" t="e">
        <f>VLOOKUP(80,Order!A$23:T$1164,3,TRUE)</f>
        <v>#N/A</v>
      </c>
      <c r="L84" s="462"/>
    </row>
    <row r="85" spans="1:12" x14ac:dyDescent="0.15">
      <c r="A85" s="468" t="e">
        <f t="shared" si="9"/>
        <v>#N/A</v>
      </c>
      <c r="B85" s="472" t="e">
        <f t="shared" si="10"/>
        <v>#N/A</v>
      </c>
      <c r="C85" s="470" t="e">
        <f t="shared" si="11"/>
        <v>#N/A</v>
      </c>
      <c r="D85" s="471" t="e">
        <f t="shared" si="12"/>
        <v>#N/A</v>
      </c>
      <c r="H85" s="462" t="e">
        <f>VLOOKUP(81,Order!A$23:T$1164,4,TRUE)</f>
        <v>#N/A</v>
      </c>
      <c r="I85" s="462" t="e">
        <f>VLOOKUP(81,Order!A$23:T$1164,2,TRUE)</f>
        <v>#N/A</v>
      </c>
      <c r="J85" s="462" t="e">
        <f>VLOOKUP(81,Order!A$23:T$1164,17,TRUE)</f>
        <v>#N/A</v>
      </c>
      <c r="K85" s="462" t="e">
        <f>VLOOKUP(81,Order!A$23:T$1164,3,TRUE)</f>
        <v>#N/A</v>
      </c>
      <c r="L85" s="462"/>
    </row>
    <row r="86" spans="1:12" x14ac:dyDescent="0.15">
      <c r="A86" s="468" t="e">
        <f t="shared" si="9"/>
        <v>#N/A</v>
      </c>
      <c r="B86" s="472" t="e">
        <f t="shared" si="10"/>
        <v>#N/A</v>
      </c>
      <c r="C86" s="470" t="e">
        <f t="shared" si="11"/>
        <v>#N/A</v>
      </c>
      <c r="D86" s="471" t="e">
        <f t="shared" si="12"/>
        <v>#N/A</v>
      </c>
      <c r="H86" s="462" t="e">
        <f>VLOOKUP(82,Order!A$23:T$1164,4,TRUE)</f>
        <v>#N/A</v>
      </c>
      <c r="I86" s="462" t="e">
        <f>VLOOKUP(82,Order!A$23:T$1164,2,TRUE)</f>
        <v>#N/A</v>
      </c>
      <c r="J86" s="462" t="e">
        <f>VLOOKUP(82,Order!A$23:T$1164,17,TRUE)</f>
        <v>#N/A</v>
      </c>
      <c r="K86" s="462" t="e">
        <f>VLOOKUP(82,Order!A$23:T$1164,3,TRUE)</f>
        <v>#N/A</v>
      </c>
      <c r="L86" s="462"/>
    </row>
    <row r="87" spans="1:12" x14ac:dyDescent="0.15">
      <c r="A87" s="468" t="e">
        <f t="shared" si="9"/>
        <v>#N/A</v>
      </c>
      <c r="B87" s="472" t="e">
        <f t="shared" si="10"/>
        <v>#N/A</v>
      </c>
      <c r="C87" s="470" t="e">
        <f t="shared" si="11"/>
        <v>#N/A</v>
      </c>
      <c r="D87" s="471" t="e">
        <f t="shared" si="12"/>
        <v>#N/A</v>
      </c>
      <c r="H87" s="462" t="e">
        <f>VLOOKUP(83,Order!A$23:T$1164,4,TRUE)</f>
        <v>#N/A</v>
      </c>
      <c r="I87" s="462" t="e">
        <f>VLOOKUP(83,Order!A$23:T$1164,2,TRUE)</f>
        <v>#N/A</v>
      </c>
      <c r="J87" s="462" t="e">
        <f>VLOOKUP(83,Order!A$23:T$1164,17,TRUE)</f>
        <v>#N/A</v>
      </c>
      <c r="K87" s="462" t="e">
        <f>VLOOKUP(83,Order!A$23:T$1164,3,TRUE)</f>
        <v>#N/A</v>
      </c>
      <c r="L87" s="462"/>
    </row>
    <row r="88" spans="1:12" x14ac:dyDescent="0.15">
      <c r="A88" s="468" t="e">
        <f t="shared" si="9"/>
        <v>#N/A</v>
      </c>
      <c r="B88" s="472" t="e">
        <f t="shared" si="10"/>
        <v>#N/A</v>
      </c>
      <c r="C88" s="470" t="e">
        <f t="shared" si="11"/>
        <v>#N/A</v>
      </c>
      <c r="D88" s="471" t="e">
        <f t="shared" si="12"/>
        <v>#N/A</v>
      </c>
      <c r="H88" s="462" t="e">
        <f>VLOOKUP(84,Order!A$23:T$1164,4,TRUE)</f>
        <v>#N/A</v>
      </c>
      <c r="I88" s="462" t="e">
        <f>VLOOKUP(84,Order!A$23:T$1164,2,TRUE)</f>
        <v>#N/A</v>
      </c>
      <c r="J88" s="462" t="e">
        <f>VLOOKUP(84,Order!A$23:T$1164,17,TRUE)</f>
        <v>#N/A</v>
      </c>
      <c r="K88" s="462" t="e">
        <f>VLOOKUP(84,Order!A$23:T$1164,3,TRUE)</f>
        <v>#N/A</v>
      </c>
      <c r="L88" s="462"/>
    </row>
    <row r="89" spans="1:12" x14ac:dyDescent="0.15">
      <c r="A89" s="468" t="e">
        <f t="shared" si="9"/>
        <v>#N/A</v>
      </c>
      <c r="B89" s="472" t="e">
        <f t="shared" si="10"/>
        <v>#N/A</v>
      </c>
      <c r="C89" s="470" t="e">
        <f t="shared" si="11"/>
        <v>#N/A</v>
      </c>
      <c r="D89" s="471" t="e">
        <f t="shared" si="12"/>
        <v>#N/A</v>
      </c>
      <c r="H89" s="462" t="e">
        <f>VLOOKUP(85,Order!A$23:T$1164,4,TRUE)</f>
        <v>#N/A</v>
      </c>
      <c r="I89" s="462" t="e">
        <f>VLOOKUP(85,Order!A$23:T$1164,2,TRUE)</f>
        <v>#N/A</v>
      </c>
      <c r="J89" s="462" t="e">
        <f>VLOOKUP(85,Order!A$23:T$1164,17,TRUE)</f>
        <v>#N/A</v>
      </c>
      <c r="K89" s="462" t="e">
        <f>VLOOKUP(85,Order!A$23:T$1164,3,TRUE)</f>
        <v>#N/A</v>
      </c>
      <c r="L89" s="462"/>
    </row>
    <row r="90" spans="1:12" x14ac:dyDescent="0.15">
      <c r="A90" s="468" t="e">
        <f t="shared" si="9"/>
        <v>#N/A</v>
      </c>
      <c r="B90" s="472" t="e">
        <f t="shared" si="10"/>
        <v>#N/A</v>
      </c>
      <c r="C90" s="470" t="e">
        <f t="shared" si="11"/>
        <v>#N/A</v>
      </c>
      <c r="D90" s="471" t="e">
        <f t="shared" si="12"/>
        <v>#N/A</v>
      </c>
      <c r="H90" s="462" t="e">
        <f>VLOOKUP(86,Order!A$23:T$1164,4,TRUE)</f>
        <v>#N/A</v>
      </c>
      <c r="I90" s="462" t="e">
        <f>VLOOKUP(86,Order!A$23:T$1164,2,TRUE)</f>
        <v>#N/A</v>
      </c>
      <c r="J90" s="462" t="e">
        <f>VLOOKUP(86,Order!A$23:T$1164,17,TRUE)</f>
        <v>#N/A</v>
      </c>
      <c r="K90" s="462" t="e">
        <f>VLOOKUP(86,Order!A$23:T$1164,3,TRUE)</f>
        <v>#N/A</v>
      </c>
      <c r="L90" s="462"/>
    </row>
    <row r="91" spans="1:12" x14ac:dyDescent="0.15">
      <c r="A91" s="468" t="e">
        <f t="shared" si="9"/>
        <v>#N/A</v>
      </c>
      <c r="B91" s="472" t="e">
        <f t="shared" si="10"/>
        <v>#N/A</v>
      </c>
      <c r="C91" s="470" t="e">
        <f t="shared" si="11"/>
        <v>#N/A</v>
      </c>
      <c r="D91" s="471" t="e">
        <f t="shared" si="12"/>
        <v>#N/A</v>
      </c>
      <c r="H91" s="462" t="e">
        <f>VLOOKUP(87,Order!A$23:T$1164,4,TRUE)</f>
        <v>#N/A</v>
      </c>
      <c r="I91" s="462" t="e">
        <f>VLOOKUP(87,Order!A$23:T$1164,2,TRUE)</f>
        <v>#N/A</v>
      </c>
      <c r="J91" s="462" t="e">
        <f>VLOOKUP(87,Order!A$23:T$1164,17,TRUE)</f>
        <v>#N/A</v>
      </c>
      <c r="K91" s="462" t="e">
        <f>VLOOKUP(87,Order!A$23:T$1164,3,TRUE)</f>
        <v>#N/A</v>
      </c>
      <c r="L91" s="462"/>
    </row>
    <row r="92" spans="1:12" x14ac:dyDescent="0.15">
      <c r="A92" s="468" t="e">
        <f t="shared" si="9"/>
        <v>#N/A</v>
      </c>
      <c r="B92" s="472" t="e">
        <f t="shared" si="10"/>
        <v>#N/A</v>
      </c>
      <c r="C92" s="470" t="e">
        <f t="shared" si="11"/>
        <v>#N/A</v>
      </c>
      <c r="D92" s="471" t="e">
        <f t="shared" si="12"/>
        <v>#N/A</v>
      </c>
      <c r="H92" s="462" t="e">
        <f>VLOOKUP(88,Order!A$23:T$1164,4,TRUE)</f>
        <v>#N/A</v>
      </c>
      <c r="I92" s="462" t="e">
        <f>VLOOKUP(88,Order!A$23:T$1164,2,TRUE)</f>
        <v>#N/A</v>
      </c>
      <c r="J92" s="462" t="e">
        <f>VLOOKUP(88,Order!A$23:T$1164,17,TRUE)</f>
        <v>#N/A</v>
      </c>
      <c r="K92" s="462" t="e">
        <f>VLOOKUP(88,Order!A$23:T$1164,3,TRUE)</f>
        <v>#N/A</v>
      </c>
      <c r="L92" s="462"/>
    </row>
    <row r="93" spans="1:12" x14ac:dyDescent="0.15">
      <c r="A93" s="468" t="e">
        <f t="shared" si="9"/>
        <v>#N/A</v>
      </c>
      <c r="B93" s="472" t="e">
        <f t="shared" si="10"/>
        <v>#N/A</v>
      </c>
      <c r="C93" s="470" t="e">
        <f t="shared" si="11"/>
        <v>#N/A</v>
      </c>
      <c r="D93" s="471" t="e">
        <f t="shared" si="12"/>
        <v>#N/A</v>
      </c>
      <c r="H93" s="462" t="e">
        <f>VLOOKUP(89,Order!A$23:T$1164,4,TRUE)</f>
        <v>#N/A</v>
      </c>
      <c r="I93" s="462" t="e">
        <f>VLOOKUP(89,Order!A$23:T$1164,2,TRUE)</f>
        <v>#N/A</v>
      </c>
      <c r="J93" s="462" t="e">
        <f>VLOOKUP(89,Order!A$23:T$1164,17,TRUE)</f>
        <v>#N/A</v>
      </c>
      <c r="K93" s="462" t="e">
        <f>VLOOKUP(89,Order!A$23:T$1164,3,TRUE)</f>
        <v>#N/A</v>
      </c>
      <c r="L93" s="462"/>
    </row>
    <row r="94" spans="1:12" x14ac:dyDescent="0.15">
      <c r="A94" s="468" t="e">
        <f t="shared" si="9"/>
        <v>#N/A</v>
      </c>
      <c r="B94" s="472" t="e">
        <f t="shared" si="10"/>
        <v>#N/A</v>
      </c>
      <c r="C94" s="470" t="e">
        <f t="shared" si="11"/>
        <v>#N/A</v>
      </c>
      <c r="D94" s="471" t="e">
        <f t="shared" si="12"/>
        <v>#N/A</v>
      </c>
      <c r="H94" s="462" t="e">
        <f>VLOOKUP(90,Order!A$23:T$1164,4,TRUE)</f>
        <v>#N/A</v>
      </c>
      <c r="I94" s="462" t="e">
        <f>VLOOKUP(90,Order!A$23:T$1164,2,TRUE)</f>
        <v>#N/A</v>
      </c>
      <c r="J94" s="462" t="e">
        <f>VLOOKUP(90,Order!A$23:T$1164,17,TRUE)</f>
        <v>#N/A</v>
      </c>
      <c r="K94" s="462" t="e">
        <f>VLOOKUP(90,Order!A$23:T$1164,3,TRUE)</f>
        <v>#N/A</v>
      </c>
      <c r="L94" s="462"/>
    </row>
    <row r="95" spans="1:12" x14ac:dyDescent="0.15">
      <c r="A95" s="468" t="e">
        <f t="shared" si="9"/>
        <v>#N/A</v>
      </c>
      <c r="B95" s="472" t="e">
        <f t="shared" si="10"/>
        <v>#N/A</v>
      </c>
      <c r="C95" s="470" t="e">
        <f t="shared" si="11"/>
        <v>#N/A</v>
      </c>
      <c r="D95" s="471" t="e">
        <f t="shared" si="12"/>
        <v>#N/A</v>
      </c>
      <c r="H95" s="462" t="e">
        <f>VLOOKUP(91,Order!A$23:T$1164,4,TRUE)</f>
        <v>#N/A</v>
      </c>
      <c r="I95" s="462" t="e">
        <f>VLOOKUP(91,Order!A$23:T$1164,2,TRUE)</f>
        <v>#N/A</v>
      </c>
      <c r="J95" s="462" t="e">
        <f>VLOOKUP(91,Order!A$23:T$1164,17,TRUE)</f>
        <v>#N/A</v>
      </c>
      <c r="K95" s="462" t="e">
        <f>VLOOKUP(91,Order!A$23:T$1164,3,TRUE)</f>
        <v>#N/A</v>
      </c>
      <c r="L95" s="462"/>
    </row>
    <row r="96" spans="1:12" x14ac:dyDescent="0.15">
      <c r="A96" s="468" t="e">
        <f t="shared" si="9"/>
        <v>#N/A</v>
      </c>
      <c r="B96" s="472" t="e">
        <f t="shared" si="10"/>
        <v>#N/A</v>
      </c>
      <c r="C96" s="470" t="e">
        <f t="shared" si="11"/>
        <v>#N/A</v>
      </c>
      <c r="D96" s="471" t="e">
        <f t="shared" si="12"/>
        <v>#N/A</v>
      </c>
      <c r="H96" s="462" t="e">
        <f>VLOOKUP(92,Order!A$23:T$1164,4,TRUE)</f>
        <v>#N/A</v>
      </c>
      <c r="I96" s="462" t="e">
        <f>VLOOKUP(92,Order!A$23:T$1164,2,TRUE)</f>
        <v>#N/A</v>
      </c>
      <c r="J96" s="462" t="e">
        <f>VLOOKUP(92,Order!A$23:T$1164,17,TRUE)</f>
        <v>#N/A</v>
      </c>
      <c r="K96" s="462" t="e">
        <f>VLOOKUP(92,Order!A$23:T$1164,3,TRUE)</f>
        <v>#N/A</v>
      </c>
      <c r="L96" s="462"/>
    </row>
    <row r="97" spans="1:12" x14ac:dyDescent="0.15">
      <c r="A97" s="468" t="e">
        <f t="shared" si="9"/>
        <v>#N/A</v>
      </c>
      <c r="B97" s="472" t="e">
        <f t="shared" si="10"/>
        <v>#N/A</v>
      </c>
      <c r="C97" s="470" t="e">
        <f t="shared" si="11"/>
        <v>#N/A</v>
      </c>
      <c r="D97" s="471" t="e">
        <f t="shared" si="12"/>
        <v>#N/A</v>
      </c>
      <c r="H97" s="462" t="e">
        <f>VLOOKUP(93,Order!A$23:T$1164,4,TRUE)</f>
        <v>#N/A</v>
      </c>
      <c r="I97" s="462" t="e">
        <f>VLOOKUP(93,Order!A$23:T$1164,2,TRUE)</f>
        <v>#N/A</v>
      </c>
      <c r="J97" s="462" t="e">
        <f>VLOOKUP(93,Order!A$23:T$1164,17,TRUE)</f>
        <v>#N/A</v>
      </c>
      <c r="K97" s="462" t="e">
        <f>VLOOKUP(93,Order!A$23:T$1164,3,TRUE)</f>
        <v>#N/A</v>
      </c>
      <c r="L97" s="462"/>
    </row>
    <row r="98" spans="1:12" x14ac:dyDescent="0.15">
      <c r="A98" s="468" t="e">
        <f t="shared" si="9"/>
        <v>#N/A</v>
      </c>
      <c r="B98" s="472" t="e">
        <f t="shared" si="10"/>
        <v>#N/A</v>
      </c>
      <c r="C98" s="470" t="e">
        <f t="shared" si="11"/>
        <v>#N/A</v>
      </c>
      <c r="D98" s="471" t="e">
        <f t="shared" si="12"/>
        <v>#N/A</v>
      </c>
      <c r="H98" s="462" t="e">
        <f>VLOOKUP(94,Order!A$23:T$1164,4,TRUE)</f>
        <v>#N/A</v>
      </c>
      <c r="I98" s="462" t="e">
        <f>VLOOKUP(94,Order!A$23:T$1164,2,TRUE)</f>
        <v>#N/A</v>
      </c>
      <c r="J98" s="462" t="e">
        <f>VLOOKUP(94,Order!A$23:T$1164,17,TRUE)</f>
        <v>#N/A</v>
      </c>
      <c r="K98" s="462" t="e">
        <f>VLOOKUP(94,Order!A$23:T$1164,3,TRUE)</f>
        <v>#N/A</v>
      </c>
      <c r="L98" s="462"/>
    </row>
    <row r="99" spans="1:12" x14ac:dyDescent="0.15">
      <c r="A99" s="468" t="e">
        <f t="shared" si="9"/>
        <v>#N/A</v>
      </c>
      <c r="B99" s="472" t="e">
        <f t="shared" si="10"/>
        <v>#N/A</v>
      </c>
      <c r="C99" s="470" t="e">
        <f t="shared" si="11"/>
        <v>#N/A</v>
      </c>
      <c r="D99" s="471" t="e">
        <f t="shared" si="12"/>
        <v>#N/A</v>
      </c>
      <c r="H99" s="462" t="e">
        <f>VLOOKUP(95,Order!A$23:T$1164,4,TRUE)</f>
        <v>#N/A</v>
      </c>
      <c r="I99" s="462" t="e">
        <f>VLOOKUP(95,Order!A$23:T$1164,2,TRUE)</f>
        <v>#N/A</v>
      </c>
      <c r="J99" s="462" t="e">
        <f>VLOOKUP(95,Order!A$23:T$1164,17,TRUE)</f>
        <v>#N/A</v>
      </c>
      <c r="K99" s="462" t="e">
        <f>VLOOKUP(95,Order!A$23:T$1164,3,TRUE)</f>
        <v>#N/A</v>
      </c>
      <c r="L99" s="462"/>
    </row>
    <row r="100" spans="1:12" x14ac:dyDescent="0.15">
      <c r="A100" s="468" t="e">
        <f t="shared" si="9"/>
        <v>#N/A</v>
      </c>
      <c r="B100" s="472" t="e">
        <f t="shared" si="10"/>
        <v>#N/A</v>
      </c>
      <c r="C100" s="470" t="e">
        <f t="shared" si="11"/>
        <v>#N/A</v>
      </c>
      <c r="D100" s="471" t="e">
        <f t="shared" si="12"/>
        <v>#N/A</v>
      </c>
      <c r="H100" s="462" t="e">
        <f>VLOOKUP(96,Order!A$23:T$1164,4,TRUE)</f>
        <v>#N/A</v>
      </c>
      <c r="I100" s="462" t="e">
        <f>VLOOKUP(96,Order!A$23:T$1164,2,TRUE)</f>
        <v>#N/A</v>
      </c>
      <c r="J100" s="462" t="e">
        <f>VLOOKUP(96,Order!A$23:T$1164,17,TRUE)</f>
        <v>#N/A</v>
      </c>
      <c r="K100" s="462" t="e">
        <f>VLOOKUP(96,Order!A$23:T$1164,3,TRUE)</f>
        <v>#N/A</v>
      </c>
      <c r="L100" s="462"/>
    </row>
    <row r="101" spans="1:12" x14ac:dyDescent="0.15">
      <c r="A101" s="468" t="e">
        <f t="shared" si="9"/>
        <v>#N/A</v>
      </c>
      <c r="B101" s="472" t="e">
        <f t="shared" si="10"/>
        <v>#N/A</v>
      </c>
      <c r="C101" s="470" t="e">
        <f t="shared" si="11"/>
        <v>#N/A</v>
      </c>
      <c r="D101" s="471" t="e">
        <f t="shared" si="12"/>
        <v>#N/A</v>
      </c>
      <c r="H101" s="462" t="e">
        <f>VLOOKUP(97,Order!A$23:T$1164,4,TRUE)</f>
        <v>#N/A</v>
      </c>
      <c r="I101" s="462" t="e">
        <f>VLOOKUP(97,Order!A$23:T$1164,2,TRUE)</f>
        <v>#N/A</v>
      </c>
      <c r="J101" s="462" t="e">
        <f>VLOOKUP(97,Order!A$23:T$1164,17,TRUE)</f>
        <v>#N/A</v>
      </c>
      <c r="K101" s="462" t="e">
        <f>VLOOKUP(97,Order!A$23:T$1164,3,TRUE)</f>
        <v>#N/A</v>
      </c>
      <c r="L101" s="462"/>
    </row>
    <row r="102" spans="1:12" x14ac:dyDescent="0.15">
      <c r="A102" s="468" t="e">
        <f t="shared" ref="A102:A133" si="13">IF(J102=0,"",IF(J102=J101,"",J102))</f>
        <v>#N/A</v>
      </c>
      <c r="B102" s="472" t="e">
        <f t="shared" ref="B102:B133" si="14">IF(H102=H101,"",H102)</f>
        <v>#N/A</v>
      </c>
      <c r="C102" s="470" t="e">
        <f t="shared" ref="C102:C133" si="15">IF(H102=H101,"",I102)</f>
        <v>#N/A</v>
      </c>
      <c r="D102" s="471" t="e">
        <f t="shared" ref="D102:D133" si="16">IF(H102=H101,"",K102)</f>
        <v>#N/A</v>
      </c>
      <c r="H102" s="462" t="e">
        <f>VLOOKUP(98,Order!A$23:T$1164,4,TRUE)</f>
        <v>#N/A</v>
      </c>
      <c r="I102" s="462" t="e">
        <f>VLOOKUP(98,Order!A$23:T$1164,2,TRUE)</f>
        <v>#N/A</v>
      </c>
      <c r="J102" s="462" t="e">
        <f>VLOOKUP(98,Order!A$23:T$1164,17,TRUE)</f>
        <v>#N/A</v>
      </c>
      <c r="K102" s="462" t="e">
        <f>VLOOKUP(98,Order!A$23:T$1164,3,TRUE)</f>
        <v>#N/A</v>
      </c>
      <c r="L102" s="462"/>
    </row>
    <row r="103" spans="1:12" x14ac:dyDescent="0.15">
      <c r="A103" s="468" t="e">
        <f t="shared" si="13"/>
        <v>#N/A</v>
      </c>
      <c r="B103" s="472" t="e">
        <f t="shared" si="14"/>
        <v>#N/A</v>
      </c>
      <c r="C103" s="470" t="e">
        <f t="shared" si="15"/>
        <v>#N/A</v>
      </c>
      <c r="D103" s="471" t="e">
        <f t="shared" si="16"/>
        <v>#N/A</v>
      </c>
      <c r="H103" s="462" t="e">
        <f>VLOOKUP(99,Order!A$23:T$1164,4,TRUE)</f>
        <v>#N/A</v>
      </c>
      <c r="I103" s="462" t="e">
        <f>VLOOKUP(99,Order!A$23:T$1164,2,TRUE)</f>
        <v>#N/A</v>
      </c>
      <c r="J103" s="462" t="e">
        <f>VLOOKUP(99,Order!A$23:T$1164,17,TRUE)</f>
        <v>#N/A</v>
      </c>
      <c r="K103" s="462" t="e">
        <f>VLOOKUP(99,Order!A$23:T$1164,3,TRUE)</f>
        <v>#N/A</v>
      </c>
      <c r="L103" s="462"/>
    </row>
    <row r="104" spans="1:12" x14ac:dyDescent="0.15">
      <c r="A104" s="468" t="e">
        <f t="shared" si="13"/>
        <v>#N/A</v>
      </c>
      <c r="B104" s="472" t="e">
        <f t="shared" si="14"/>
        <v>#N/A</v>
      </c>
      <c r="C104" s="470" t="e">
        <f t="shared" si="15"/>
        <v>#N/A</v>
      </c>
      <c r="D104" s="471" t="e">
        <f t="shared" si="16"/>
        <v>#N/A</v>
      </c>
      <c r="H104" s="462" t="e">
        <f>VLOOKUP(100,Order!A$23:T$1164,4,TRUE)</f>
        <v>#N/A</v>
      </c>
      <c r="I104" s="462" t="e">
        <f>VLOOKUP(100,Order!A$23:T$1164,2,TRUE)</f>
        <v>#N/A</v>
      </c>
      <c r="J104" s="462" t="e">
        <f>VLOOKUP(100,Order!A$23:T$1164,17,TRUE)</f>
        <v>#N/A</v>
      </c>
      <c r="K104" s="462" t="e">
        <f>VLOOKUP(100,Order!A$23:T$1164,3,TRUE)</f>
        <v>#N/A</v>
      </c>
      <c r="L104" s="462"/>
    </row>
    <row r="105" spans="1:12" x14ac:dyDescent="0.15">
      <c r="A105" s="468" t="e">
        <f t="shared" si="13"/>
        <v>#N/A</v>
      </c>
      <c r="B105" s="472" t="e">
        <f t="shared" si="14"/>
        <v>#N/A</v>
      </c>
      <c r="C105" s="470" t="e">
        <f t="shared" si="15"/>
        <v>#N/A</v>
      </c>
      <c r="D105" s="471" t="e">
        <f t="shared" si="16"/>
        <v>#N/A</v>
      </c>
      <c r="H105" s="462" t="e">
        <f>VLOOKUP(101,Order!A$23:T$1164,4,TRUE)</f>
        <v>#N/A</v>
      </c>
      <c r="I105" s="462" t="e">
        <f>VLOOKUP(101,Order!A$23:T$1164,2,TRUE)</f>
        <v>#N/A</v>
      </c>
      <c r="J105" s="462" t="e">
        <f>VLOOKUP(101,Order!A$23:T$1164,17,TRUE)</f>
        <v>#N/A</v>
      </c>
      <c r="K105" s="462" t="e">
        <f>VLOOKUP(101,Order!A$23:T$1164,3,TRUE)</f>
        <v>#N/A</v>
      </c>
      <c r="L105" s="462"/>
    </row>
    <row r="106" spans="1:12" x14ac:dyDescent="0.15">
      <c r="A106" s="468" t="e">
        <f t="shared" si="13"/>
        <v>#N/A</v>
      </c>
      <c r="B106" s="472" t="e">
        <f t="shared" si="14"/>
        <v>#N/A</v>
      </c>
      <c r="C106" s="470" t="e">
        <f t="shared" si="15"/>
        <v>#N/A</v>
      </c>
      <c r="D106" s="471" t="e">
        <f t="shared" si="16"/>
        <v>#N/A</v>
      </c>
      <c r="H106" s="462" t="e">
        <f>VLOOKUP(102,Order!A$23:T$1164,4,TRUE)</f>
        <v>#N/A</v>
      </c>
      <c r="I106" s="462" t="e">
        <f>VLOOKUP(102,Order!A$23:T$1164,2,TRUE)</f>
        <v>#N/A</v>
      </c>
      <c r="J106" s="462" t="e">
        <f>VLOOKUP(102,Order!A$23:T$1164,17,TRUE)</f>
        <v>#N/A</v>
      </c>
      <c r="K106" s="462" t="e">
        <f>VLOOKUP(102,Order!A$23:T$1164,3,TRUE)</f>
        <v>#N/A</v>
      </c>
      <c r="L106" s="462"/>
    </row>
    <row r="107" spans="1:12" x14ac:dyDescent="0.15">
      <c r="A107" s="468" t="e">
        <f t="shared" si="13"/>
        <v>#N/A</v>
      </c>
      <c r="B107" s="472" t="e">
        <f t="shared" si="14"/>
        <v>#N/A</v>
      </c>
      <c r="C107" s="470" t="e">
        <f t="shared" si="15"/>
        <v>#N/A</v>
      </c>
      <c r="D107" s="471" t="e">
        <f t="shared" si="16"/>
        <v>#N/A</v>
      </c>
      <c r="H107" s="462" t="e">
        <f>VLOOKUP(103,Order!A$23:T$1164,4,TRUE)</f>
        <v>#N/A</v>
      </c>
      <c r="I107" s="462" t="e">
        <f>VLOOKUP(103,Order!A$23:T$1164,2,TRUE)</f>
        <v>#N/A</v>
      </c>
      <c r="J107" s="462" t="e">
        <f>VLOOKUP(103,Order!A$23:T$1164,17,TRUE)</f>
        <v>#N/A</v>
      </c>
      <c r="K107" s="462" t="e">
        <f>VLOOKUP(103,Order!A$23:T$1164,3,TRUE)</f>
        <v>#N/A</v>
      </c>
      <c r="L107" s="462"/>
    </row>
    <row r="108" spans="1:12" x14ac:dyDescent="0.15">
      <c r="A108" s="468" t="e">
        <f t="shared" si="13"/>
        <v>#N/A</v>
      </c>
      <c r="B108" s="472" t="e">
        <f t="shared" si="14"/>
        <v>#N/A</v>
      </c>
      <c r="C108" s="470" t="e">
        <f t="shared" si="15"/>
        <v>#N/A</v>
      </c>
      <c r="D108" s="471" t="e">
        <f t="shared" si="16"/>
        <v>#N/A</v>
      </c>
      <c r="H108" s="462" t="e">
        <f>VLOOKUP(104,Order!A$23:T$1164,4,TRUE)</f>
        <v>#N/A</v>
      </c>
      <c r="I108" s="462" t="e">
        <f>VLOOKUP(104,Order!A$23:T$1164,2,TRUE)</f>
        <v>#N/A</v>
      </c>
      <c r="J108" s="462" t="e">
        <f>VLOOKUP(104,Order!A$23:T$1164,17,TRUE)</f>
        <v>#N/A</v>
      </c>
      <c r="K108" s="462" t="e">
        <f>VLOOKUP(104,Order!A$23:T$1164,3,TRUE)</f>
        <v>#N/A</v>
      </c>
      <c r="L108" s="462"/>
    </row>
    <row r="109" spans="1:12" x14ac:dyDescent="0.15">
      <c r="A109" s="468" t="e">
        <f t="shared" si="13"/>
        <v>#N/A</v>
      </c>
      <c r="B109" s="472" t="e">
        <f t="shared" si="14"/>
        <v>#N/A</v>
      </c>
      <c r="C109" s="470" t="e">
        <f t="shared" si="15"/>
        <v>#N/A</v>
      </c>
      <c r="D109" s="471" t="e">
        <f t="shared" si="16"/>
        <v>#N/A</v>
      </c>
      <c r="H109" s="462" t="e">
        <f>VLOOKUP(105,Order!A$23:T$1164,4,TRUE)</f>
        <v>#N/A</v>
      </c>
      <c r="I109" s="462" t="e">
        <f>VLOOKUP(105,Order!A$23:T$1164,2,TRUE)</f>
        <v>#N/A</v>
      </c>
      <c r="J109" s="462" t="e">
        <f>VLOOKUP(105,Order!A$23:T$1164,17,TRUE)</f>
        <v>#N/A</v>
      </c>
      <c r="K109" s="462" t="e">
        <f>VLOOKUP(105,Order!A$23:T$1164,3,TRUE)</f>
        <v>#N/A</v>
      </c>
      <c r="L109" s="462"/>
    </row>
    <row r="110" spans="1:12" x14ac:dyDescent="0.15">
      <c r="A110" s="468" t="e">
        <f t="shared" si="13"/>
        <v>#N/A</v>
      </c>
      <c r="B110" s="472" t="e">
        <f t="shared" si="14"/>
        <v>#N/A</v>
      </c>
      <c r="C110" s="470" t="e">
        <f t="shared" si="15"/>
        <v>#N/A</v>
      </c>
      <c r="D110" s="471" t="e">
        <f t="shared" si="16"/>
        <v>#N/A</v>
      </c>
      <c r="H110" s="462" t="e">
        <f>VLOOKUP(106,Order!A$23:T$1164,4,TRUE)</f>
        <v>#N/A</v>
      </c>
      <c r="I110" s="462" t="e">
        <f>VLOOKUP(106,Order!A$23:T$1164,2,TRUE)</f>
        <v>#N/A</v>
      </c>
      <c r="J110" s="462" t="e">
        <f>VLOOKUP(106,Order!A$23:T$1164,17,TRUE)</f>
        <v>#N/A</v>
      </c>
      <c r="K110" s="462" t="e">
        <f>VLOOKUP(106,Order!A$23:T$1164,3,TRUE)</f>
        <v>#N/A</v>
      </c>
      <c r="L110" s="462"/>
    </row>
    <row r="111" spans="1:12" x14ac:dyDescent="0.15">
      <c r="A111" s="468" t="e">
        <f t="shared" si="13"/>
        <v>#N/A</v>
      </c>
      <c r="B111" s="472" t="e">
        <f t="shared" si="14"/>
        <v>#N/A</v>
      </c>
      <c r="C111" s="470" t="e">
        <f t="shared" si="15"/>
        <v>#N/A</v>
      </c>
      <c r="D111" s="471" t="e">
        <f t="shared" si="16"/>
        <v>#N/A</v>
      </c>
      <c r="H111" s="462" t="e">
        <f>VLOOKUP(107,Order!A$23:T$1164,4,TRUE)</f>
        <v>#N/A</v>
      </c>
      <c r="I111" s="462" t="e">
        <f>VLOOKUP(107,Order!A$23:T$1164,2,TRUE)</f>
        <v>#N/A</v>
      </c>
      <c r="J111" s="462" t="e">
        <f>VLOOKUP(107,Order!A$23:T$1164,17,TRUE)</f>
        <v>#N/A</v>
      </c>
      <c r="K111" s="462" t="e">
        <f>VLOOKUP(107,Order!A$23:T$1164,3,TRUE)</f>
        <v>#N/A</v>
      </c>
      <c r="L111" s="462"/>
    </row>
    <row r="112" spans="1:12" x14ac:dyDescent="0.15">
      <c r="A112" s="468" t="e">
        <f t="shared" si="13"/>
        <v>#N/A</v>
      </c>
      <c r="B112" s="472" t="e">
        <f t="shared" si="14"/>
        <v>#N/A</v>
      </c>
      <c r="C112" s="470" t="e">
        <f t="shared" si="15"/>
        <v>#N/A</v>
      </c>
      <c r="D112" s="471" t="e">
        <f t="shared" si="16"/>
        <v>#N/A</v>
      </c>
      <c r="H112" s="462" t="e">
        <f>VLOOKUP(108,Order!A$23:T$1164,4,TRUE)</f>
        <v>#N/A</v>
      </c>
      <c r="I112" s="462" t="e">
        <f>VLOOKUP(108,Order!A$23:T$1164,2,TRUE)</f>
        <v>#N/A</v>
      </c>
      <c r="J112" s="462" t="e">
        <f>VLOOKUP(108,Order!A$23:T$1164,17,TRUE)</f>
        <v>#N/A</v>
      </c>
      <c r="K112" s="462" t="e">
        <f>VLOOKUP(108,Order!A$23:T$1164,3,TRUE)</f>
        <v>#N/A</v>
      </c>
      <c r="L112" s="462"/>
    </row>
    <row r="113" spans="1:12" x14ac:dyDescent="0.15">
      <c r="A113" s="468" t="e">
        <f t="shared" si="13"/>
        <v>#N/A</v>
      </c>
      <c r="B113" s="472" t="e">
        <f t="shared" si="14"/>
        <v>#N/A</v>
      </c>
      <c r="C113" s="470" t="e">
        <f t="shared" si="15"/>
        <v>#N/A</v>
      </c>
      <c r="D113" s="471" t="e">
        <f t="shared" si="16"/>
        <v>#N/A</v>
      </c>
      <c r="H113" s="462" t="e">
        <f>VLOOKUP(109,Order!A$23:T$1164,4,TRUE)</f>
        <v>#N/A</v>
      </c>
      <c r="I113" s="462" t="e">
        <f>VLOOKUP(109,Order!A$23:T$1164,2,TRUE)</f>
        <v>#N/A</v>
      </c>
      <c r="J113" s="462" t="e">
        <f>VLOOKUP(109,Order!A$23:T$1164,17,TRUE)</f>
        <v>#N/A</v>
      </c>
      <c r="K113" s="462" t="e">
        <f>VLOOKUP(109,Order!A$23:T$1164,3,TRUE)</f>
        <v>#N/A</v>
      </c>
      <c r="L113" s="462"/>
    </row>
    <row r="114" spans="1:12" x14ac:dyDescent="0.15">
      <c r="A114" s="468" t="e">
        <f t="shared" si="13"/>
        <v>#N/A</v>
      </c>
      <c r="B114" s="472" t="e">
        <f t="shared" si="14"/>
        <v>#N/A</v>
      </c>
      <c r="C114" s="470" t="e">
        <f t="shared" si="15"/>
        <v>#N/A</v>
      </c>
      <c r="D114" s="471" t="e">
        <f t="shared" si="16"/>
        <v>#N/A</v>
      </c>
      <c r="H114" s="462" t="e">
        <f>VLOOKUP(110,Order!A$23:T$1164,4,TRUE)</f>
        <v>#N/A</v>
      </c>
      <c r="I114" s="462" t="e">
        <f>VLOOKUP(110,Order!A$23:T$1164,2,TRUE)</f>
        <v>#N/A</v>
      </c>
      <c r="J114" s="462" t="e">
        <f>VLOOKUP(110,Order!A$23:T$1164,17,TRUE)</f>
        <v>#N/A</v>
      </c>
      <c r="K114" s="462" t="e">
        <f>VLOOKUP(110,Order!A$23:T$1164,3,TRUE)</f>
        <v>#N/A</v>
      </c>
      <c r="L114" s="462"/>
    </row>
    <row r="115" spans="1:12" x14ac:dyDescent="0.15">
      <c r="A115" s="468" t="e">
        <f t="shared" si="13"/>
        <v>#N/A</v>
      </c>
      <c r="B115" s="472" t="e">
        <f t="shared" si="14"/>
        <v>#N/A</v>
      </c>
      <c r="C115" s="470" t="e">
        <f t="shared" si="15"/>
        <v>#N/A</v>
      </c>
      <c r="D115" s="471" t="e">
        <f t="shared" si="16"/>
        <v>#N/A</v>
      </c>
      <c r="H115" s="462" t="e">
        <f>VLOOKUP(111,Order!A$23:T$1164,4,TRUE)</f>
        <v>#N/A</v>
      </c>
      <c r="I115" s="462" t="e">
        <f>VLOOKUP(111,Order!A$23:T$1164,2,TRUE)</f>
        <v>#N/A</v>
      </c>
      <c r="J115" s="462" t="e">
        <f>VLOOKUP(111,Order!A$23:T$1164,17,TRUE)</f>
        <v>#N/A</v>
      </c>
      <c r="K115" s="462" t="e">
        <f>VLOOKUP(111,Order!A$23:T$1164,3,TRUE)</f>
        <v>#N/A</v>
      </c>
      <c r="L115" s="462"/>
    </row>
    <row r="116" spans="1:12" x14ac:dyDescent="0.15">
      <c r="A116" s="468" t="e">
        <f t="shared" si="13"/>
        <v>#N/A</v>
      </c>
      <c r="B116" s="472" t="e">
        <f t="shared" si="14"/>
        <v>#N/A</v>
      </c>
      <c r="C116" s="470" t="e">
        <f t="shared" si="15"/>
        <v>#N/A</v>
      </c>
      <c r="D116" s="471" t="e">
        <f t="shared" si="16"/>
        <v>#N/A</v>
      </c>
      <c r="H116" s="462" t="e">
        <f>VLOOKUP(112,Order!A$23:T$1164,4,TRUE)</f>
        <v>#N/A</v>
      </c>
      <c r="I116" s="462" t="e">
        <f>VLOOKUP(112,Order!A$23:T$1164,2,TRUE)</f>
        <v>#N/A</v>
      </c>
      <c r="J116" s="462" t="e">
        <f>VLOOKUP(112,Order!A$23:T$1164,17,TRUE)</f>
        <v>#N/A</v>
      </c>
      <c r="K116" s="462" t="e">
        <f>VLOOKUP(112,Order!A$23:T$1164,3,TRUE)</f>
        <v>#N/A</v>
      </c>
      <c r="L116" s="462"/>
    </row>
    <row r="117" spans="1:12" x14ac:dyDescent="0.15">
      <c r="A117" s="468" t="e">
        <f t="shared" si="13"/>
        <v>#N/A</v>
      </c>
      <c r="B117" s="472" t="e">
        <f t="shared" si="14"/>
        <v>#N/A</v>
      </c>
      <c r="C117" s="470" t="e">
        <f t="shared" si="15"/>
        <v>#N/A</v>
      </c>
      <c r="D117" s="471" t="e">
        <f t="shared" si="16"/>
        <v>#N/A</v>
      </c>
      <c r="H117" s="462" t="e">
        <f>VLOOKUP(113,Order!A$23:T$1164,4,TRUE)</f>
        <v>#N/A</v>
      </c>
      <c r="I117" s="462" t="e">
        <f>VLOOKUP(113,Order!A$23:T$1164,2,TRUE)</f>
        <v>#N/A</v>
      </c>
      <c r="J117" s="462" t="e">
        <f>VLOOKUP(113,Order!A$23:T$1164,17,TRUE)</f>
        <v>#N/A</v>
      </c>
      <c r="K117" s="462" t="e">
        <f>VLOOKUP(113,Order!A$23:T$1164,3,TRUE)</f>
        <v>#N/A</v>
      </c>
      <c r="L117" s="462"/>
    </row>
    <row r="118" spans="1:12" x14ac:dyDescent="0.15">
      <c r="A118" s="468" t="e">
        <f t="shared" si="13"/>
        <v>#N/A</v>
      </c>
      <c r="B118" s="472" t="e">
        <f t="shared" si="14"/>
        <v>#N/A</v>
      </c>
      <c r="C118" s="470" t="e">
        <f t="shared" si="15"/>
        <v>#N/A</v>
      </c>
      <c r="D118" s="471" t="e">
        <f t="shared" si="16"/>
        <v>#N/A</v>
      </c>
      <c r="H118" s="462" t="e">
        <f>VLOOKUP(114,Order!A$23:T$1164,4,TRUE)</f>
        <v>#N/A</v>
      </c>
      <c r="I118" s="462" t="e">
        <f>VLOOKUP(114,Order!A$23:T$1164,2,TRUE)</f>
        <v>#N/A</v>
      </c>
      <c r="J118" s="462" t="e">
        <f>VLOOKUP(114,Order!A$23:T$1164,17,TRUE)</f>
        <v>#N/A</v>
      </c>
      <c r="K118" s="462" t="e">
        <f>VLOOKUP(114,Order!A$23:T$1164,3,TRUE)</f>
        <v>#N/A</v>
      </c>
      <c r="L118" s="462"/>
    </row>
    <row r="119" spans="1:12" x14ac:dyDescent="0.15">
      <c r="A119" s="468" t="e">
        <f t="shared" si="13"/>
        <v>#N/A</v>
      </c>
      <c r="B119" s="472" t="e">
        <f t="shared" si="14"/>
        <v>#N/A</v>
      </c>
      <c r="C119" s="470" t="e">
        <f t="shared" si="15"/>
        <v>#N/A</v>
      </c>
      <c r="D119" s="471" t="e">
        <f t="shared" si="16"/>
        <v>#N/A</v>
      </c>
      <c r="H119" s="462" t="e">
        <f>VLOOKUP(115,Order!A$23:T$1164,4,TRUE)</f>
        <v>#N/A</v>
      </c>
      <c r="I119" s="462" t="e">
        <f>VLOOKUP(115,Order!A$23:T$1164,2,TRUE)</f>
        <v>#N/A</v>
      </c>
      <c r="J119" s="462" t="e">
        <f>VLOOKUP(115,Order!A$23:T$1164,17,TRUE)</f>
        <v>#N/A</v>
      </c>
      <c r="K119" s="462" t="e">
        <f>VLOOKUP(115,Order!A$23:T$1164,3,TRUE)</f>
        <v>#N/A</v>
      </c>
      <c r="L119" s="462"/>
    </row>
    <row r="120" spans="1:12" x14ac:dyDescent="0.15">
      <c r="A120" s="468" t="e">
        <f t="shared" si="13"/>
        <v>#N/A</v>
      </c>
      <c r="B120" s="472" t="e">
        <f t="shared" si="14"/>
        <v>#N/A</v>
      </c>
      <c r="C120" s="470" t="e">
        <f t="shared" si="15"/>
        <v>#N/A</v>
      </c>
      <c r="D120" s="471" t="e">
        <f t="shared" si="16"/>
        <v>#N/A</v>
      </c>
      <c r="H120" s="462" t="e">
        <f>VLOOKUP(116,Order!A$23:T$1164,4,TRUE)</f>
        <v>#N/A</v>
      </c>
      <c r="I120" s="462" t="e">
        <f>VLOOKUP(116,Order!A$23:T$1164,2,TRUE)</f>
        <v>#N/A</v>
      </c>
      <c r="J120" s="462" t="e">
        <f>VLOOKUP(116,Order!A$23:T$1164,17,TRUE)</f>
        <v>#N/A</v>
      </c>
      <c r="K120" s="462" t="e">
        <f>VLOOKUP(116,Order!A$23:T$1164,3,TRUE)</f>
        <v>#N/A</v>
      </c>
      <c r="L120" s="462"/>
    </row>
    <row r="121" spans="1:12" x14ac:dyDescent="0.15">
      <c r="A121" s="468" t="e">
        <f t="shared" si="13"/>
        <v>#N/A</v>
      </c>
      <c r="B121" s="472" t="e">
        <f t="shared" si="14"/>
        <v>#N/A</v>
      </c>
      <c r="C121" s="470" t="e">
        <f t="shared" si="15"/>
        <v>#N/A</v>
      </c>
      <c r="D121" s="471" t="e">
        <f t="shared" si="16"/>
        <v>#N/A</v>
      </c>
      <c r="H121" s="462" t="e">
        <f>VLOOKUP(117,Order!A$23:T$1164,4,TRUE)</f>
        <v>#N/A</v>
      </c>
      <c r="I121" s="462" t="e">
        <f>VLOOKUP(117,Order!A$23:T$1164,2,TRUE)</f>
        <v>#N/A</v>
      </c>
      <c r="J121" s="462" t="e">
        <f>VLOOKUP(117,Order!A$23:T$1164,17,TRUE)</f>
        <v>#N/A</v>
      </c>
      <c r="K121" s="462" t="e">
        <f>VLOOKUP(117,Order!A$23:T$1164,3,TRUE)</f>
        <v>#N/A</v>
      </c>
      <c r="L121" s="462"/>
    </row>
    <row r="122" spans="1:12" x14ac:dyDescent="0.15">
      <c r="A122" s="468" t="e">
        <f t="shared" si="13"/>
        <v>#N/A</v>
      </c>
      <c r="B122" s="472" t="e">
        <f t="shared" si="14"/>
        <v>#N/A</v>
      </c>
      <c r="C122" s="470" t="e">
        <f t="shared" si="15"/>
        <v>#N/A</v>
      </c>
      <c r="D122" s="471" t="e">
        <f t="shared" si="16"/>
        <v>#N/A</v>
      </c>
      <c r="H122" s="462" t="e">
        <f>VLOOKUP(118,Order!A$23:T$1164,4,TRUE)</f>
        <v>#N/A</v>
      </c>
      <c r="I122" s="462" t="e">
        <f>VLOOKUP(118,Order!A$23:T$1164,2,TRUE)</f>
        <v>#N/A</v>
      </c>
      <c r="J122" s="462" t="e">
        <f>VLOOKUP(118,Order!A$23:T$1164,17,TRUE)</f>
        <v>#N/A</v>
      </c>
      <c r="K122" s="462" t="e">
        <f>VLOOKUP(118,Order!A$23:T$1164,3,TRUE)</f>
        <v>#N/A</v>
      </c>
      <c r="L122" s="462"/>
    </row>
    <row r="123" spans="1:12" x14ac:dyDescent="0.15">
      <c r="A123" s="468" t="e">
        <f t="shared" si="13"/>
        <v>#N/A</v>
      </c>
      <c r="B123" s="472" t="e">
        <f t="shared" si="14"/>
        <v>#N/A</v>
      </c>
      <c r="C123" s="470" t="e">
        <f t="shared" si="15"/>
        <v>#N/A</v>
      </c>
      <c r="D123" s="471" t="e">
        <f t="shared" si="16"/>
        <v>#N/A</v>
      </c>
      <c r="H123" s="462" t="e">
        <f>VLOOKUP(119,Order!A$23:T$1164,4,TRUE)</f>
        <v>#N/A</v>
      </c>
      <c r="I123" s="462" t="e">
        <f>VLOOKUP(119,Order!A$23:T$1164,2,TRUE)</f>
        <v>#N/A</v>
      </c>
      <c r="J123" s="462" t="e">
        <f>VLOOKUP(119,Order!A$23:T$1164,17,TRUE)</f>
        <v>#N/A</v>
      </c>
      <c r="K123" s="462" t="e">
        <f>VLOOKUP(119,Order!A$23:T$1164,3,TRUE)</f>
        <v>#N/A</v>
      </c>
      <c r="L123" s="462"/>
    </row>
    <row r="124" spans="1:12" x14ac:dyDescent="0.15">
      <c r="A124" s="468" t="e">
        <f t="shared" si="13"/>
        <v>#N/A</v>
      </c>
      <c r="B124" s="472" t="e">
        <f t="shared" si="14"/>
        <v>#N/A</v>
      </c>
      <c r="C124" s="470" t="e">
        <f t="shared" si="15"/>
        <v>#N/A</v>
      </c>
      <c r="D124" s="471" t="e">
        <f t="shared" si="16"/>
        <v>#N/A</v>
      </c>
      <c r="H124" s="462" t="e">
        <f>VLOOKUP(120,Order!A$23:T$1164,4,TRUE)</f>
        <v>#N/A</v>
      </c>
      <c r="I124" s="462" t="e">
        <f>VLOOKUP(120,Order!A$23:T$1164,2,TRUE)</f>
        <v>#N/A</v>
      </c>
      <c r="J124" s="462" t="e">
        <f>VLOOKUP(120,Order!A$23:T$1164,17,TRUE)</f>
        <v>#N/A</v>
      </c>
      <c r="K124" s="462" t="e">
        <f>VLOOKUP(120,Order!A$23:T$1164,3,TRUE)</f>
        <v>#N/A</v>
      </c>
      <c r="L124" s="462"/>
    </row>
    <row r="125" spans="1:12" x14ac:dyDescent="0.15">
      <c r="A125" s="468" t="e">
        <f t="shared" si="13"/>
        <v>#N/A</v>
      </c>
      <c r="B125" s="472" t="e">
        <f t="shared" si="14"/>
        <v>#N/A</v>
      </c>
      <c r="C125" s="470" t="e">
        <f t="shared" si="15"/>
        <v>#N/A</v>
      </c>
      <c r="D125" s="471" t="e">
        <f t="shared" si="16"/>
        <v>#N/A</v>
      </c>
      <c r="H125" s="462" t="e">
        <f>VLOOKUP(121,Order!A$23:T$1164,4,TRUE)</f>
        <v>#N/A</v>
      </c>
      <c r="I125" s="462" t="e">
        <f>VLOOKUP(121,Order!A$23:T$1164,2,TRUE)</f>
        <v>#N/A</v>
      </c>
      <c r="J125" s="462" t="e">
        <f>VLOOKUP(121,Order!A$23:T$1164,17,TRUE)</f>
        <v>#N/A</v>
      </c>
      <c r="K125" s="462" t="e">
        <f>VLOOKUP(121,Order!A$23:T$1164,3,TRUE)</f>
        <v>#N/A</v>
      </c>
      <c r="L125" s="462"/>
    </row>
    <row r="126" spans="1:12" x14ac:dyDescent="0.15">
      <c r="A126" s="468" t="e">
        <f t="shared" si="13"/>
        <v>#N/A</v>
      </c>
      <c r="B126" s="472" t="e">
        <f t="shared" si="14"/>
        <v>#N/A</v>
      </c>
      <c r="C126" s="470" t="e">
        <f t="shared" si="15"/>
        <v>#N/A</v>
      </c>
      <c r="D126" s="471" t="e">
        <f t="shared" si="16"/>
        <v>#N/A</v>
      </c>
      <c r="H126" s="462" t="e">
        <f>VLOOKUP(122,Order!A$23:T$1164,4,TRUE)</f>
        <v>#N/A</v>
      </c>
      <c r="I126" s="462" t="e">
        <f>VLOOKUP(122,Order!A$23:T$1164,2,TRUE)</f>
        <v>#N/A</v>
      </c>
      <c r="J126" s="462" t="e">
        <f>VLOOKUP(122,Order!A$23:T$1164,17,TRUE)</f>
        <v>#N/A</v>
      </c>
      <c r="K126" s="462" t="e">
        <f>VLOOKUP(122,Order!A$23:T$1164,3,TRUE)</f>
        <v>#N/A</v>
      </c>
      <c r="L126" s="462"/>
    </row>
    <row r="127" spans="1:12" x14ac:dyDescent="0.15">
      <c r="A127" s="468" t="e">
        <f t="shared" si="13"/>
        <v>#N/A</v>
      </c>
      <c r="B127" s="472" t="e">
        <f t="shared" si="14"/>
        <v>#N/A</v>
      </c>
      <c r="C127" s="470" t="e">
        <f t="shared" si="15"/>
        <v>#N/A</v>
      </c>
      <c r="D127" s="471" t="e">
        <f t="shared" si="16"/>
        <v>#N/A</v>
      </c>
      <c r="H127" s="462" t="e">
        <f>VLOOKUP(123,Order!A$23:T$1164,4,TRUE)</f>
        <v>#N/A</v>
      </c>
      <c r="I127" s="462" t="e">
        <f>VLOOKUP(123,Order!A$23:T$1164,2,TRUE)</f>
        <v>#N/A</v>
      </c>
      <c r="J127" s="462" t="e">
        <f>VLOOKUP(123,Order!A$23:T$1164,17,TRUE)</f>
        <v>#N/A</v>
      </c>
      <c r="K127" s="462" t="e">
        <f>VLOOKUP(123,Order!A$23:T$1164,3,TRUE)</f>
        <v>#N/A</v>
      </c>
      <c r="L127" s="462"/>
    </row>
    <row r="128" spans="1:12" x14ac:dyDescent="0.15">
      <c r="A128" s="468" t="e">
        <f t="shared" si="13"/>
        <v>#N/A</v>
      </c>
      <c r="B128" s="472" t="e">
        <f t="shared" si="14"/>
        <v>#N/A</v>
      </c>
      <c r="C128" s="470" t="e">
        <f t="shared" si="15"/>
        <v>#N/A</v>
      </c>
      <c r="D128" s="471" t="e">
        <f t="shared" si="16"/>
        <v>#N/A</v>
      </c>
      <c r="H128" s="462" t="e">
        <f>VLOOKUP(124,Order!A$23:T$1164,4,TRUE)</f>
        <v>#N/A</v>
      </c>
      <c r="I128" s="462" t="e">
        <f>VLOOKUP(124,Order!A$23:T$1164,2,TRUE)</f>
        <v>#N/A</v>
      </c>
      <c r="J128" s="462" t="e">
        <f>VLOOKUP(124,Order!A$23:T$1164,17,TRUE)</f>
        <v>#N/A</v>
      </c>
      <c r="K128" s="462" t="e">
        <f>VLOOKUP(124,Order!A$23:T$1164,3,TRUE)</f>
        <v>#N/A</v>
      </c>
      <c r="L128" s="462"/>
    </row>
    <row r="129" spans="1:12" x14ac:dyDescent="0.15">
      <c r="A129" s="468" t="e">
        <f t="shared" si="13"/>
        <v>#N/A</v>
      </c>
      <c r="B129" s="472" t="e">
        <f t="shared" si="14"/>
        <v>#N/A</v>
      </c>
      <c r="C129" s="470" t="e">
        <f t="shared" si="15"/>
        <v>#N/A</v>
      </c>
      <c r="D129" s="471" t="e">
        <f t="shared" si="16"/>
        <v>#N/A</v>
      </c>
      <c r="H129" s="462" t="e">
        <f>VLOOKUP(125,Order!A$23:T$1164,4,TRUE)</f>
        <v>#N/A</v>
      </c>
      <c r="I129" s="462" t="e">
        <f>VLOOKUP(125,Order!A$23:T$1164,2,TRUE)</f>
        <v>#N/A</v>
      </c>
      <c r="J129" s="462" t="e">
        <f>VLOOKUP(125,Order!A$23:T$1164,17,TRUE)</f>
        <v>#N/A</v>
      </c>
      <c r="K129" s="462" t="e">
        <f>VLOOKUP(125,Order!A$23:T$1164,3,TRUE)</f>
        <v>#N/A</v>
      </c>
      <c r="L129" s="462"/>
    </row>
    <row r="130" spans="1:12" x14ac:dyDescent="0.15">
      <c r="A130" s="468" t="e">
        <f t="shared" si="13"/>
        <v>#N/A</v>
      </c>
      <c r="B130" s="472" t="e">
        <f t="shared" si="14"/>
        <v>#N/A</v>
      </c>
      <c r="C130" s="470" t="e">
        <f t="shared" si="15"/>
        <v>#N/A</v>
      </c>
      <c r="D130" s="471" t="e">
        <f t="shared" si="16"/>
        <v>#N/A</v>
      </c>
      <c r="H130" s="462" t="e">
        <f>VLOOKUP(126,Order!A$23:T$1164,4,TRUE)</f>
        <v>#N/A</v>
      </c>
      <c r="I130" s="462" t="e">
        <f>VLOOKUP(126,Order!A$23:T$1164,2,TRUE)</f>
        <v>#N/A</v>
      </c>
      <c r="J130" s="462" t="e">
        <f>VLOOKUP(126,Order!A$23:T$1164,17,TRUE)</f>
        <v>#N/A</v>
      </c>
      <c r="K130" s="462" t="e">
        <f>VLOOKUP(126,Order!A$23:T$1164,3,TRUE)</f>
        <v>#N/A</v>
      </c>
      <c r="L130" s="462"/>
    </row>
    <row r="131" spans="1:12" x14ac:dyDescent="0.15">
      <c r="A131" s="468" t="e">
        <f t="shared" si="13"/>
        <v>#N/A</v>
      </c>
      <c r="B131" s="472" t="e">
        <f t="shared" si="14"/>
        <v>#N/A</v>
      </c>
      <c r="C131" s="470" t="e">
        <f t="shared" si="15"/>
        <v>#N/A</v>
      </c>
      <c r="D131" s="471" t="e">
        <f t="shared" si="16"/>
        <v>#N/A</v>
      </c>
      <c r="H131" s="462" t="e">
        <f>VLOOKUP(127,Order!A$23:T$1164,4,TRUE)</f>
        <v>#N/A</v>
      </c>
      <c r="I131" s="462" t="e">
        <f>VLOOKUP(127,Order!A$23:T$1164,2,TRUE)</f>
        <v>#N/A</v>
      </c>
      <c r="J131" s="462" t="e">
        <f>VLOOKUP(127,Order!A$23:T$1164,17,TRUE)</f>
        <v>#N/A</v>
      </c>
      <c r="K131" s="462" t="e">
        <f>VLOOKUP(127,Order!A$23:T$1164,3,TRUE)</f>
        <v>#N/A</v>
      </c>
      <c r="L131" s="462"/>
    </row>
    <row r="132" spans="1:12" x14ac:dyDescent="0.15">
      <c r="A132" s="468" t="e">
        <f t="shared" si="13"/>
        <v>#N/A</v>
      </c>
      <c r="B132" s="472" t="e">
        <f t="shared" si="14"/>
        <v>#N/A</v>
      </c>
      <c r="C132" s="470" t="e">
        <f t="shared" si="15"/>
        <v>#N/A</v>
      </c>
      <c r="D132" s="471" t="e">
        <f t="shared" si="16"/>
        <v>#N/A</v>
      </c>
      <c r="H132" s="463" t="e">
        <f>VLOOKUP(128,Order!A$23:T$1164,4,TRUE)</f>
        <v>#N/A</v>
      </c>
      <c r="I132" s="463" t="e">
        <f>VLOOKUP(128,Order!A$23:T$1164,2,TRUE)</f>
        <v>#N/A</v>
      </c>
      <c r="J132" s="463" t="e">
        <f>VLOOKUP(128,Order!A$23:T$1164,17,TRUE)</f>
        <v>#N/A</v>
      </c>
      <c r="K132" s="463" t="e">
        <f>VLOOKUP(128,Order!A$23:T$1164,3,TRUE)</f>
        <v>#N/A</v>
      </c>
    </row>
    <row r="133" spans="1:12" x14ac:dyDescent="0.15">
      <c r="A133" s="468" t="e">
        <f t="shared" si="13"/>
        <v>#N/A</v>
      </c>
      <c r="B133" s="472" t="e">
        <f t="shared" si="14"/>
        <v>#N/A</v>
      </c>
      <c r="C133" s="470" t="e">
        <f t="shared" si="15"/>
        <v>#N/A</v>
      </c>
      <c r="D133" s="471" t="e">
        <f t="shared" si="16"/>
        <v>#N/A</v>
      </c>
      <c r="H133" s="463" t="e">
        <f>VLOOKUP(129,Order!A$23:T$1164,4,TRUE)</f>
        <v>#N/A</v>
      </c>
      <c r="I133" s="463" t="e">
        <f>VLOOKUP(129,Order!A$23:T$1164,2,TRUE)</f>
        <v>#N/A</v>
      </c>
      <c r="J133" s="463" t="e">
        <f>VLOOKUP(129,Order!A$23:T$1164,17,TRUE)</f>
        <v>#N/A</v>
      </c>
      <c r="K133" s="463" t="e">
        <f>VLOOKUP(129,Order!A$23:T$1164,3,TRUE)</f>
        <v>#N/A</v>
      </c>
    </row>
    <row r="134" spans="1:12" x14ac:dyDescent="0.15">
      <c r="A134" s="468" t="e">
        <f t="shared" ref="A134:A164" si="17">IF(J134=0,"",IF(J134=J133,"",J134))</f>
        <v>#N/A</v>
      </c>
      <c r="B134" s="472" t="e">
        <f t="shared" ref="B134:B164" si="18">IF(H134=H133,"",H134)</f>
        <v>#N/A</v>
      </c>
      <c r="C134" s="470" t="e">
        <f t="shared" ref="C134:C164" si="19">IF(H134=H133,"",I134)</f>
        <v>#N/A</v>
      </c>
      <c r="D134" s="471" t="e">
        <f t="shared" ref="D134:D164" si="20">IF(H134=H133,"",K134)</f>
        <v>#N/A</v>
      </c>
      <c r="H134" s="463" t="e">
        <f>VLOOKUP(130,Order!A$23:T$1164,4,TRUE)</f>
        <v>#N/A</v>
      </c>
      <c r="I134" s="463" t="e">
        <f>VLOOKUP(130,Order!A$23:T$1164,2,TRUE)</f>
        <v>#N/A</v>
      </c>
      <c r="J134" s="463" t="e">
        <f>VLOOKUP(130,Order!A$23:T$1164,17,TRUE)</f>
        <v>#N/A</v>
      </c>
      <c r="K134" s="463" t="e">
        <f>VLOOKUP(130,Order!A$23:T$1164,3,TRUE)</f>
        <v>#N/A</v>
      </c>
    </row>
    <row r="135" spans="1:12" x14ac:dyDescent="0.15">
      <c r="A135" s="468" t="e">
        <f t="shared" si="17"/>
        <v>#N/A</v>
      </c>
      <c r="B135" s="472" t="e">
        <f t="shared" si="18"/>
        <v>#N/A</v>
      </c>
      <c r="C135" s="470" t="e">
        <f t="shared" si="19"/>
        <v>#N/A</v>
      </c>
      <c r="D135" s="471" t="e">
        <f t="shared" si="20"/>
        <v>#N/A</v>
      </c>
      <c r="H135" s="463" t="e">
        <f>VLOOKUP(131,Order!A$23:T$1164,4,TRUE)</f>
        <v>#N/A</v>
      </c>
      <c r="I135" s="463" t="e">
        <f>VLOOKUP(131,Order!A$23:T$1164,2,TRUE)</f>
        <v>#N/A</v>
      </c>
      <c r="J135" s="463" t="e">
        <f>VLOOKUP(131,Order!A$23:T$1164,17,TRUE)</f>
        <v>#N/A</v>
      </c>
      <c r="K135" s="463" t="e">
        <f>VLOOKUP(131,Order!A$23:T$1164,3,TRUE)</f>
        <v>#N/A</v>
      </c>
    </row>
    <row r="136" spans="1:12" x14ac:dyDescent="0.15">
      <c r="A136" s="468" t="e">
        <f t="shared" si="17"/>
        <v>#N/A</v>
      </c>
      <c r="B136" s="472" t="e">
        <f t="shared" si="18"/>
        <v>#N/A</v>
      </c>
      <c r="C136" s="470" t="e">
        <f t="shared" si="19"/>
        <v>#N/A</v>
      </c>
      <c r="D136" s="471" t="e">
        <f t="shared" si="20"/>
        <v>#N/A</v>
      </c>
      <c r="H136" s="463" t="e">
        <f>VLOOKUP(132,Order!A$23:T$1164,4,TRUE)</f>
        <v>#N/A</v>
      </c>
      <c r="I136" s="463" t="e">
        <f>VLOOKUP(132,Order!A$23:T$1164,2,TRUE)</f>
        <v>#N/A</v>
      </c>
      <c r="J136" s="463" t="e">
        <f>VLOOKUP(132,Order!A$23:T$1164,17,TRUE)</f>
        <v>#N/A</v>
      </c>
      <c r="K136" s="463" t="e">
        <f>VLOOKUP(132,Order!A$23:T$1164,3,TRUE)</f>
        <v>#N/A</v>
      </c>
    </row>
    <row r="137" spans="1:12" x14ac:dyDescent="0.15">
      <c r="A137" s="468" t="e">
        <f t="shared" si="17"/>
        <v>#N/A</v>
      </c>
      <c r="B137" s="472" t="e">
        <f t="shared" si="18"/>
        <v>#N/A</v>
      </c>
      <c r="C137" s="470" t="e">
        <f t="shared" si="19"/>
        <v>#N/A</v>
      </c>
      <c r="D137" s="471" t="e">
        <f t="shared" si="20"/>
        <v>#N/A</v>
      </c>
      <c r="H137" s="463" t="e">
        <f>VLOOKUP(133,Order!A$23:T$1164,4,TRUE)</f>
        <v>#N/A</v>
      </c>
      <c r="I137" s="463" t="e">
        <f>VLOOKUP(133,Order!A$23:T$1164,2,TRUE)</f>
        <v>#N/A</v>
      </c>
      <c r="J137" s="463" t="e">
        <f>VLOOKUP(133,Order!A$23:T$1164,17,TRUE)</f>
        <v>#N/A</v>
      </c>
      <c r="K137" s="463" t="e">
        <f>VLOOKUP(133,Order!A$23:T$1164,3,TRUE)</f>
        <v>#N/A</v>
      </c>
    </row>
    <row r="138" spans="1:12" x14ac:dyDescent="0.15">
      <c r="A138" s="468" t="e">
        <f t="shared" si="17"/>
        <v>#N/A</v>
      </c>
      <c r="B138" s="472" t="e">
        <f t="shared" si="18"/>
        <v>#N/A</v>
      </c>
      <c r="C138" s="470" t="e">
        <f t="shared" si="19"/>
        <v>#N/A</v>
      </c>
      <c r="D138" s="471" t="e">
        <f t="shared" si="20"/>
        <v>#N/A</v>
      </c>
      <c r="H138" s="463" t="e">
        <f>VLOOKUP(134,Order!A$23:T$1164,4,TRUE)</f>
        <v>#N/A</v>
      </c>
      <c r="I138" s="463" t="e">
        <f>VLOOKUP(134,Order!A$23:T$1164,2,TRUE)</f>
        <v>#N/A</v>
      </c>
      <c r="J138" s="463" t="e">
        <f>VLOOKUP(134,Order!A$23:T$1164,17,TRUE)</f>
        <v>#N/A</v>
      </c>
      <c r="K138" s="463" t="e">
        <f>VLOOKUP(134,Order!A$23:T$1164,3,TRUE)</f>
        <v>#N/A</v>
      </c>
    </row>
    <row r="139" spans="1:12" x14ac:dyDescent="0.15">
      <c r="A139" s="468" t="e">
        <f t="shared" si="17"/>
        <v>#N/A</v>
      </c>
      <c r="B139" s="472" t="e">
        <f t="shared" si="18"/>
        <v>#N/A</v>
      </c>
      <c r="C139" s="470" t="e">
        <f t="shared" si="19"/>
        <v>#N/A</v>
      </c>
      <c r="D139" s="471" t="e">
        <f t="shared" si="20"/>
        <v>#N/A</v>
      </c>
      <c r="H139" s="463" t="e">
        <f>VLOOKUP(135,Order!A$23:T$1164,4,TRUE)</f>
        <v>#N/A</v>
      </c>
      <c r="I139" s="463" t="e">
        <f>VLOOKUP(135,Order!A$23:T$1164,2,TRUE)</f>
        <v>#N/A</v>
      </c>
      <c r="J139" s="463" t="e">
        <f>VLOOKUP(135,Order!A$23:T$1164,17,TRUE)</f>
        <v>#N/A</v>
      </c>
      <c r="K139" s="463" t="e">
        <f>VLOOKUP(135,Order!A$23:T$1164,3,TRUE)</f>
        <v>#N/A</v>
      </c>
    </row>
    <row r="140" spans="1:12" x14ac:dyDescent="0.15">
      <c r="A140" s="468" t="e">
        <f t="shared" si="17"/>
        <v>#N/A</v>
      </c>
      <c r="B140" s="472" t="e">
        <f t="shared" si="18"/>
        <v>#N/A</v>
      </c>
      <c r="C140" s="470" t="e">
        <f t="shared" si="19"/>
        <v>#N/A</v>
      </c>
      <c r="D140" s="471" t="e">
        <f t="shared" si="20"/>
        <v>#N/A</v>
      </c>
      <c r="H140" s="463" t="e">
        <f>VLOOKUP(136,Order!A$23:T$1164,4,TRUE)</f>
        <v>#N/A</v>
      </c>
      <c r="I140" s="463" t="e">
        <f>VLOOKUP(136,Order!A$23:T$1164,2,TRUE)</f>
        <v>#N/A</v>
      </c>
      <c r="J140" s="463" t="e">
        <f>VLOOKUP(136,Order!A$23:T$1164,17,TRUE)</f>
        <v>#N/A</v>
      </c>
      <c r="K140" s="463" t="e">
        <f>VLOOKUP(136,Order!A$23:T$1164,3,TRUE)</f>
        <v>#N/A</v>
      </c>
    </row>
    <row r="141" spans="1:12" x14ac:dyDescent="0.15">
      <c r="A141" s="468" t="e">
        <f t="shared" si="17"/>
        <v>#N/A</v>
      </c>
      <c r="B141" s="472" t="e">
        <f t="shared" si="18"/>
        <v>#N/A</v>
      </c>
      <c r="C141" s="470" t="e">
        <f t="shared" si="19"/>
        <v>#N/A</v>
      </c>
      <c r="D141" s="471" t="e">
        <f t="shared" si="20"/>
        <v>#N/A</v>
      </c>
      <c r="H141" s="463" t="e">
        <f>VLOOKUP(137,Order!A$23:T$1164,4,TRUE)</f>
        <v>#N/A</v>
      </c>
      <c r="I141" s="463" t="e">
        <f>VLOOKUP(137,Order!A$23:T$1164,2,TRUE)</f>
        <v>#N/A</v>
      </c>
      <c r="J141" s="463" t="e">
        <f>VLOOKUP(137,Order!A$23:T$1164,17,TRUE)</f>
        <v>#N/A</v>
      </c>
      <c r="K141" s="463" t="e">
        <f>VLOOKUP(137,Order!A$23:T$1164,3,TRUE)</f>
        <v>#N/A</v>
      </c>
    </row>
    <row r="142" spans="1:12" x14ac:dyDescent="0.15">
      <c r="A142" s="468" t="e">
        <f t="shared" si="17"/>
        <v>#N/A</v>
      </c>
      <c r="B142" s="472" t="e">
        <f t="shared" si="18"/>
        <v>#N/A</v>
      </c>
      <c r="C142" s="470" t="e">
        <f t="shared" si="19"/>
        <v>#N/A</v>
      </c>
      <c r="D142" s="471" t="e">
        <f t="shared" si="20"/>
        <v>#N/A</v>
      </c>
      <c r="H142" s="463" t="e">
        <f>VLOOKUP(138,Order!A$23:T$1164,4,TRUE)</f>
        <v>#N/A</v>
      </c>
      <c r="I142" s="463" t="e">
        <f>VLOOKUP(138,Order!A$23:T$1164,2,TRUE)</f>
        <v>#N/A</v>
      </c>
      <c r="J142" s="463" t="e">
        <f>VLOOKUP(138,Order!A$23:T$1164,17,TRUE)</f>
        <v>#N/A</v>
      </c>
      <c r="K142" s="463" t="e">
        <f>VLOOKUP(138,Order!A$23:T$1164,3,TRUE)</f>
        <v>#N/A</v>
      </c>
    </row>
    <row r="143" spans="1:12" x14ac:dyDescent="0.15">
      <c r="A143" s="468" t="e">
        <f t="shared" si="17"/>
        <v>#N/A</v>
      </c>
      <c r="B143" s="472" t="e">
        <f t="shared" si="18"/>
        <v>#N/A</v>
      </c>
      <c r="C143" s="470" t="e">
        <f t="shared" si="19"/>
        <v>#N/A</v>
      </c>
      <c r="D143" s="471" t="e">
        <f t="shared" si="20"/>
        <v>#N/A</v>
      </c>
      <c r="H143" s="463" t="e">
        <f>VLOOKUP(139,Order!A$23:T$1164,4,TRUE)</f>
        <v>#N/A</v>
      </c>
      <c r="I143" s="463" t="e">
        <f>VLOOKUP(139,Order!A$23:T$1164,2,TRUE)</f>
        <v>#N/A</v>
      </c>
      <c r="J143" s="463" t="e">
        <f>VLOOKUP(139,Order!A$23:T$1164,17,TRUE)</f>
        <v>#N/A</v>
      </c>
      <c r="K143" s="463" t="e">
        <f>VLOOKUP(139,Order!A$23:T$1164,3,TRUE)</f>
        <v>#N/A</v>
      </c>
    </row>
    <row r="144" spans="1:12" x14ac:dyDescent="0.15">
      <c r="A144" s="468" t="e">
        <f t="shared" si="17"/>
        <v>#N/A</v>
      </c>
      <c r="B144" s="472" t="e">
        <f t="shared" si="18"/>
        <v>#N/A</v>
      </c>
      <c r="C144" s="470" t="e">
        <f t="shared" si="19"/>
        <v>#N/A</v>
      </c>
      <c r="D144" s="471" t="e">
        <f t="shared" si="20"/>
        <v>#N/A</v>
      </c>
      <c r="H144" s="463" t="e">
        <f>VLOOKUP(140,Order!A$23:T$1164,4,TRUE)</f>
        <v>#N/A</v>
      </c>
      <c r="I144" s="463" t="e">
        <f>VLOOKUP(140,Order!A$23:T$1164,2,TRUE)</f>
        <v>#N/A</v>
      </c>
      <c r="J144" s="463" t="e">
        <f>VLOOKUP(140,Order!A$23:T$1164,17,TRUE)</f>
        <v>#N/A</v>
      </c>
      <c r="K144" s="463" t="e">
        <f>VLOOKUP(140,Order!A$23:T$1164,3,TRUE)</f>
        <v>#N/A</v>
      </c>
    </row>
    <row r="145" spans="1:11" x14ac:dyDescent="0.15">
      <c r="A145" s="468" t="e">
        <f t="shared" si="17"/>
        <v>#N/A</v>
      </c>
      <c r="B145" s="472" t="e">
        <f t="shared" si="18"/>
        <v>#N/A</v>
      </c>
      <c r="C145" s="470" t="e">
        <f t="shared" si="19"/>
        <v>#N/A</v>
      </c>
      <c r="D145" s="471" t="e">
        <f t="shared" si="20"/>
        <v>#N/A</v>
      </c>
      <c r="H145" s="463" t="e">
        <f>VLOOKUP(141,Order!A$23:T$1164,4,TRUE)</f>
        <v>#N/A</v>
      </c>
      <c r="I145" s="463" t="e">
        <f>VLOOKUP(141,Order!A$23:T$1164,2,TRUE)</f>
        <v>#N/A</v>
      </c>
      <c r="J145" s="463" t="e">
        <f>VLOOKUP(141,Order!A$23:T$1164,17,TRUE)</f>
        <v>#N/A</v>
      </c>
      <c r="K145" s="463" t="e">
        <f>VLOOKUP(141,Order!A$23:T$1164,3,TRUE)</f>
        <v>#N/A</v>
      </c>
    </row>
    <row r="146" spans="1:11" x14ac:dyDescent="0.15">
      <c r="A146" s="468" t="e">
        <f t="shared" si="17"/>
        <v>#N/A</v>
      </c>
      <c r="B146" s="472" t="e">
        <f t="shared" si="18"/>
        <v>#N/A</v>
      </c>
      <c r="C146" s="470" t="e">
        <f t="shared" si="19"/>
        <v>#N/A</v>
      </c>
      <c r="D146" s="471" t="e">
        <f t="shared" si="20"/>
        <v>#N/A</v>
      </c>
      <c r="H146" s="463" t="e">
        <f>VLOOKUP(142,Order!A$23:T$1164,4,TRUE)</f>
        <v>#N/A</v>
      </c>
      <c r="I146" s="463" t="e">
        <f>VLOOKUP(142,Order!A$23:T$1164,2,TRUE)</f>
        <v>#N/A</v>
      </c>
      <c r="J146" s="463" t="e">
        <f>VLOOKUP(142,Order!A$23:T$1164,17,TRUE)</f>
        <v>#N/A</v>
      </c>
      <c r="K146" s="463" t="e">
        <f>VLOOKUP(142,Order!A$23:T$1164,3,TRUE)</f>
        <v>#N/A</v>
      </c>
    </row>
    <row r="147" spans="1:11" x14ac:dyDescent="0.15">
      <c r="A147" s="468" t="e">
        <f t="shared" si="17"/>
        <v>#N/A</v>
      </c>
      <c r="B147" s="472" t="e">
        <f t="shared" si="18"/>
        <v>#N/A</v>
      </c>
      <c r="C147" s="470" t="e">
        <f t="shared" si="19"/>
        <v>#N/A</v>
      </c>
      <c r="D147" s="471" t="e">
        <f t="shared" si="20"/>
        <v>#N/A</v>
      </c>
      <c r="H147" s="463" t="e">
        <f>VLOOKUP(143,Order!A$23:T$1164,4,TRUE)</f>
        <v>#N/A</v>
      </c>
      <c r="I147" s="463" t="e">
        <f>VLOOKUP(143,Order!A$23:T$1164,2,TRUE)</f>
        <v>#N/A</v>
      </c>
      <c r="J147" s="463" t="e">
        <f>VLOOKUP(143,Order!A$23:T$1164,17,TRUE)</f>
        <v>#N/A</v>
      </c>
      <c r="K147" s="463" t="e">
        <f>VLOOKUP(143,Order!A$23:T$1164,3,TRUE)</f>
        <v>#N/A</v>
      </c>
    </row>
    <row r="148" spans="1:11" x14ac:dyDescent="0.15">
      <c r="A148" s="468" t="e">
        <f t="shared" si="17"/>
        <v>#N/A</v>
      </c>
      <c r="B148" s="472" t="e">
        <f t="shared" si="18"/>
        <v>#N/A</v>
      </c>
      <c r="C148" s="470" t="e">
        <f t="shared" si="19"/>
        <v>#N/A</v>
      </c>
      <c r="D148" s="471" t="e">
        <f t="shared" si="20"/>
        <v>#N/A</v>
      </c>
      <c r="H148" s="463" t="e">
        <f>VLOOKUP(144,Order!A$23:T$1164,4,TRUE)</f>
        <v>#N/A</v>
      </c>
      <c r="I148" s="463" t="e">
        <f>VLOOKUP(144,Order!A$23:T$1164,2,TRUE)</f>
        <v>#N/A</v>
      </c>
      <c r="J148" s="463" t="e">
        <f>VLOOKUP(144,Order!A$23:T$1164,17,TRUE)</f>
        <v>#N/A</v>
      </c>
      <c r="K148" s="463" t="e">
        <f>VLOOKUP(144,Order!A$23:T$1164,3,TRUE)</f>
        <v>#N/A</v>
      </c>
    </row>
    <row r="149" spans="1:11" x14ac:dyDescent="0.15">
      <c r="A149" s="468" t="e">
        <f t="shared" si="17"/>
        <v>#N/A</v>
      </c>
      <c r="B149" s="472" t="e">
        <f t="shared" si="18"/>
        <v>#N/A</v>
      </c>
      <c r="C149" s="470" t="e">
        <f t="shared" si="19"/>
        <v>#N/A</v>
      </c>
      <c r="D149" s="471" t="e">
        <f t="shared" si="20"/>
        <v>#N/A</v>
      </c>
      <c r="H149" s="463" t="e">
        <f>VLOOKUP(145,Order!A$23:T$1164,4,TRUE)</f>
        <v>#N/A</v>
      </c>
      <c r="I149" s="463" t="e">
        <f>VLOOKUP(145,Order!A$23:T$1164,2,TRUE)</f>
        <v>#N/A</v>
      </c>
      <c r="J149" s="463" t="e">
        <f>VLOOKUP(145,Order!A$23:T$1164,17,TRUE)</f>
        <v>#N/A</v>
      </c>
      <c r="K149" s="463" t="e">
        <f>VLOOKUP(145,Order!A$23:T$1164,3,TRUE)</f>
        <v>#N/A</v>
      </c>
    </row>
    <row r="150" spans="1:11" x14ac:dyDescent="0.15">
      <c r="A150" s="468" t="e">
        <f t="shared" si="17"/>
        <v>#N/A</v>
      </c>
      <c r="B150" s="472" t="e">
        <f t="shared" si="18"/>
        <v>#N/A</v>
      </c>
      <c r="C150" s="470" t="e">
        <f t="shared" si="19"/>
        <v>#N/A</v>
      </c>
      <c r="D150" s="471" t="e">
        <f t="shared" si="20"/>
        <v>#N/A</v>
      </c>
      <c r="H150" s="463" t="e">
        <f>VLOOKUP(146,Order!A$23:T$1164,4,TRUE)</f>
        <v>#N/A</v>
      </c>
      <c r="I150" s="463" t="e">
        <f>VLOOKUP(146,Order!A$23:T$1164,2,TRUE)</f>
        <v>#N/A</v>
      </c>
      <c r="J150" s="463" t="e">
        <f>VLOOKUP(146,Order!A$23:T$1164,17,TRUE)</f>
        <v>#N/A</v>
      </c>
      <c r="K150" s="463" t="e">
        <f>VLOOKUP(146,Order!A$23:T$1164,3,TRUE)</f>
        <v>#N/A</v>
      </c>
    </row>
    <row r="151" spans="1:11" x14ac:dyDescent="0.15">
      <c r="A151" s="468" t="e">
        <f t="shared" si="17"/>
        <v>#N/A</v>
      </c>
      <c r="B151" s="472" t="e">
        <f t="shared" si="18"/>
        <v>#N/A</v>
      </c>
      <c r="C151" s="470" t="e">
        <f t="shared" si="19"/>
        <v>#N/A</v>
      </c>
      <c r="D151" s="471" t="e">
        <f t="shared" si="20"/>
        <v>#N/A</v>
      </c>
      <c r="H151" s="463" t="e">
        <f>VLOOKUP(147,Order!A$23:T$1164,4,TRUE)</f>
        <v>#N/A</v>
      </c>
      <c r="I151" s="463" t="e">
        <f>VLOOKUP(147,Order!A$23:T$1164,2,TRUE)</f>
        <v>#N/A</v>
      </c>
      <c r="J151" s="463" t="e">
        <f>VLOOKUP(147,Order!A$23:T$1164,17,TRUE)</f>
        <v>#N/A</v>
      </c>
      <c r="K151" s="463" t="e">
        <f>VLOOKUP(147,Order!A$23:T$1164,3,TRUE)</f>
        <v>#N/A</v>
      </c>
    </row>
    <row r="152" spans="1:11" x14ac:dyDescent="0.15">
      <c r="A152" s="468" t="e">
        <f t="shared" si="17"/>
        <v>#N/A</v>
      </c>
      <c r="B152" s="472" t="e">
        <f t="shared" si="18"/>
        <v>#N/A</v>
      </c>
      <c r="C152" s="470" t="e">
        <f t="shared" si="19"/>
        <v>#N/A</v>
      </c>
      <c r="D152" s="471" t="e">
        <f t="shared" si="20"/>
        <v>#N/A</v>
      </c>
      <c r="H152" s="463" t="e">
        <f>VLOOKUP(148,Order!A$23:T$1164,4,TRUE)</f>
        <v>#N/A</v>
      </c>
      <c r="I152" s="463" t="e">
        <f>VLOOKUP(148,Order!A$23:T$1164,2,TRUE)</f>
        <v>#N/A</v>
      </c>
      <c r="J152" s="463" t="e">
        <f>VLOOKUP(148,Order!A$23:T$1164,17,TRUE)</f>
        <v>#N/A</v>
      </c>
      <c r="K152" s="463" t="e">
        <f>VLOOKUP(148,Order!A$23:T$1164,3,TRUE)</f>
        <v>#N/A</v>
      </c>
    </row>
    <row r="153" spans="1:11" x14ac:dyDescent="0.15">
      <c r="A153" s="468" t="e">
        <f t="shared" si="17"/>
        <v>#N/A</v>
      </c>
      <c r="B153" s="472" t="e">
        <f t="shared" si="18"/>
        <v>#N/A</v>
      </c>
      <c r="C153" s="470" t="e">
        <f t="shared" si="19"/>
        <v>#N/A</v>
      </c>
      <c r="D153" s="471" t="e">
        <f t="shared" si="20"/>
        <v>#N/A</v>
      </c>
      <c r="H153" s="463" t="e">
        <f>VLOOKUP(149,Order!A$23:T$1164,4,TRUE)</f>
        <v>#N/A</v>
      </c>
      <c r="I153" s="463" t="e">
        <f>VLOOKUP(149,Order!A$23:T$1164,2,TRUE)</f>
        <v>#N/A</v>
      </c>
      <c r="J153" s="463" t="e">
        <f>VLOOKUP(149,Order!A$23:T$1164,17,TRUE)</f>
        <v>#N/A</v>
      </c>
      <c r="K153" s="463" t="e">
        <f>VLOOKUP(149,Order!A$23:T$1164,3,TRUE)</f>
        <v>#N/A</v>
      </c>
    </row>
    <row r="154" spans="1:11" x14ac:dyDescent="0.15">
      <c r="A154" s="468" t="e">
        <f t="shared" si="17"/>
        <v>#N/A</v>
      </c>
      <c r="B154" s="472" t="e">
        <f t="shared" si="18"/>
        <v>#N/A</v>
      </c>
      <c r="C154" s="470" t="e">
        <f t="shared" si="19"/>
        <v>#N/A</v>
      </c>
      <c r="D154" s="473" t="e">
        <f t="shared" si="20"/>
        <v>#N/A</v>
      </c>
      <c r="H154" s="463" t="e">
        <f>VLOOKUP(150,Order!A$23:T$1164,4,TRUE)</f>
        <v>#N/A</v>
      </c>
      <c r="I154" s="463" t="e">
        <f>VLOOKUP(150,Order!A$23:T$1164,2,TRUE)</f>
        <v>#N/A</v>
      </c>
      <c r="J154" s="463" t="e">
        <f>VLOOKUP(150,Order!A$23:T$1164,17,TRUE)</f>
        <v>#N/A</v>
      </c>
      <c r="K154" s="463" t="e">
        <f>VLOOKUP(150,Order!A$23:T$1164,3,TRUE)</f>
        <v>#N/A</v>
      </c>
    </row>
    <row r="155" spans="1:11" x14ac:dyDescent="0.15">
      <c r="A155" s="468" t="e">
        <f t="shared" si="17"/>
        <v>#N/A</v>
      </c>
      <c r="B155" s="472" t="e">
        <f t="shared" si="18"/>
        <v>#N/A</v>
      </c>
      <c r="C155" s="470" t="e">
        <f t="shared" si="19"/>
        <v>#N/A</v>
      </c>
      <c r="D155" s="473" t="e">
        <f t="shared" si="20"/>
        <v>#N/A</v>
      </c>
      <c r="H155" s="463" t="e">
        <f>VLOOKUP(151,Order!A$23:T$1164,4,TRUE)</f>
        <v>#N/A</v>
      </c>
      <c r="I155" s="463" t="e">
        <f>VLOOKUP(151,Order!A$23:T$1164,2,TRUE)</f>
        <v>#N/A</v>
      </c>
      <c r="J155" s="463" t="e">
        <f>VLOOKUP(151,Order!A$23:T$1164,17,TRUE)</f>
        <v>#N/A</v>
      </c>
      <c r="K155" s="463" t="e">
        <f>VLOOKUP(151,Order!A$23:T$1164,3,TRUE)</f>
        <v>#N/A</v>
      </c>
    </row>
    <row r="156" spans="1:11" x14ac:dyDescent="0.15">
      <c r="A156" s="468" t="e">
        <f t="shared" si="17"/>
        <v>#N/A</v>
      </c>
      <c r="B156" s="472" t="e">
        <f t="shared" si="18"/>
        <v>#N/A</v>
      </c>
      <c r="C156" s="470" t="e">
        <f t="shared" si="19"/>
        <v>#N/A</v>
      </c>
      <c r="D156" s="473" t="e">
        <f t="shared" si="20"/>
        <v>#N/A</v>
      </c>
      <c r="H156" s="463" t="e">
        <f>VLOOKUP(152,Order!A$23:T$1164,4,TRUE)</f>
        <v>#N/A</v>
      </c>
      <c r="I156" s="463" t="e">
        <f>VLOOKUP(152,Order!A$23:T$1164,2,TRUE)</f>
        <v>#N/A</v>
      </c>
      <c r="J156" s="463" t="e">
        <f>VLOOKUP(152,Order!A$23:T$1164,17,TRUE)</f>
        <v>#N/A</v>
      </c>
      <c r="K156" s="463" t="e">
        <f>VLOOKUP(152,Order!A$23:T$1164,3,TRUE)</f>
        <v>#N/A</v>
      </c>
    </row>
    <row r="157" spans="1:11" x14ac:dyDescent="0.15">
      <c r="A157" s="468" t="e">
        <f t="shared" si="17"/>
        <v>#N/A</v>
      </c>
      <c r="B157" s="472" t="e">
        <f t="shared" si="18"/>
        <v>#N/A</v>
      </c>
      <c r="C157" s="470" t="e">
        <f t="shared" si="19"/>
        <v>#N/A</v>
      </c>
      <c r="D157" s="473" t="e">
        <f t="shared" si="20"/>
        <v>#N/A</v>
      </c>
      <c r="H157" s="463" t="e">
        <f>VLOOKUP(153,Order!A$23:T$1164,4,TRUE)</f>
        <v>#N/A</v>
      </c>
      <c r="I157" s="463" t="e">
        <f>VLOOKUP(153,Order!A$23:T$1164,2,TRUE)</f>
        <v>#N/A</v>
      </c>
      <c r="J157" s="463" t="e">
        <f>VLOOKUP(153,Order!A$23:T$1164,17,TRUE)</f>
        <v>#N/A</v>
      </c>
      <c r="K157" s="463" t="e">
        <f>VLOOKUP(153,Order!A$23:T$1164,3,TRUE)</f>
        <v>#N/A</v>
      </c>
    </row>
    <row r="158" spans="1:11" x14ac:dyDescent="0.15">
      <c r="A158" s="468" t="e">
        <f t="shared" si="17"/>
        <v>#N/A</v>
      </c>
      <c r="B158" s="472" t="e">
        <f t="shared" si="18"/>
        <v>#N/A</v>
      </c>
      <c r="C158" s="470" t="e">
        <f t="shared" si="19"/>
        <v>#N/A</v>
      </c>
      <c r="D158" s="473" t="e">
        <f t="shared" si="20"/>
        <v>#N/A</v>
      </c>
      <c r="H158" s="463" t="e">
        <f>VLOOKUP(154,Order!A$23:T$1164,4,TRUE)</f>
        <v>#N/A</v>
      </c>
      <c r="I158" s="463" t="e">
        <f>VLOOKUP(154,Order!A$23:T$1164,2,TRUE)</f>
        <v>#N/A</v>
      </c>
      <c r="J158" s="463" t="e">
        <f>VLOOKUP(154,Order!A$23:T$1164,17,TRUE)</f>
        <v>#N/A</v>
      </c>
      <c r="K158" s="463" t="e">
        <f>VLOOKUP(154,Order!A$23:T$1164,3,TRUE)</f>
        <v>#N/A</v>
      </c>
    </row>
    <row r="159" spans="1:11" x14ac:dyDescent="0.15">
      <c r="A159" s="468" t="e">
        <f t="shared" si="17"/>
        <v>#N/A</v>
      </c>
      <c r="B159" s="472" t="e">
        <f t="shared" si="18"/>
        <v>#N/A</v>
      </c>
      <c r="C159" s="470" t="e">
        <f t="shared" si="19"/>
        <v>#N/A</v>
      </c>
      <c r="D159" s="473" t="e">
        <f t="shared" si="20"/>
        <v>#N/A</v>
      </c>
      <c r="H159" s="463" t="e">
        <f>VLOOKUP(155,Order!A$23:T$1164,4,TRUE)</f>
        <v>#N/A</v>
      </c>
      <c r="I159" s="463" t="e">
        <f>VLOOKUP(155,Order!A$23:T$1164,2,TRUE)</f>
        <v>#N/A</v>
      </c>
      <c r="J159" s="463" t="e">
        <f>VLOOKUP(155,Order!A$23:T$1164,17,TRUE)</f>
        <v>#N/A</v>
      </c>
      <c r="K159" s="463" t="e">
        <f>VLOOKUP(155,Order!A$23:T$1164,3,TRUE)</f>
        <v>#N/A</v>
      </c>
    </row>
    <row r="160" spans="1:11" x14ac:dyDescent="0.15">
      <c r="A160" s="468" t="e">
        <f t="shared" si="17"/>
        <v>#N/A</v>
      </c>
      <c r="B160" s="472" t="e">
        <f t="shared" si="18"/>
        <v>#N/A</v>
      </c>
      <c r="C160" s="470" t="e">
        <f t="shared" si="19"/>
        <v>#N/A</v>
      </c>
      <c r="D160" s="473" t="e">
        <f t="shared" si="20"/>
        <v>#N/A</v>
      </c>
      <c r="H160" s="463" t="e">
        <f>VLOOKUP(156,Order!A$75:T$1164,4,TRUE)</f>
        <v>#N/A</v>
      </c>
      <c r="I160" s="463" t="e">
        <f>VLOOKUP(156,Order!A$75:T$1164,2,TRUE)</f>
        <v>#N/A</v>
      </c>
      <c r="J160" s="463" t="e">
        <f>VLOOKUP(156,Order!A$75:T$1164,17,TRUE)</f>
        <v>#N/A</v>
      </c>
      <c r="K160" s="463" t="e">
        <f>VLOOKUP(156,Order!A$75:T$1164,3,TRUE)</f>
        <v>#N/A</v>
      </c>
    </row>
    <row r="161" spans="1:11" x14ac:dyDescent="0.15">
      <c r="A161" s="468" t="e">
        <f t="shared" si="17"/>
        <v>#N/A</v>
      </c>
      <c r="B161" s="472" t="e">
        <f t="shared" si="18"/>
        <v>#N/A</v>
      </c>
      <c r="C161" s="470" t="e">
        <f t="shared" si="19"/>
        <v>#N/A</v>
      </c>
      <c r="D161" s="473" t="e">
        <f t="shared" si="20"/>
        <v>#N/A</v>
      </c>
      <c r="H161" s="463" t="e">
        <f>VLOOKUP(157,Order!A$75:T$1164,4,TRUE)</f>
        <v>#N/A</v>
      </c>
      <c r="I161" s="463" t="e">
        <f>VLOOKUP(157,Order!A$75:T$1164,2,TRUE)</f>
        <v>#N/A</v>
      </c>
      <c r="J161" s="463" t="e">
        <f>VLOOKUP(157,Order!A$75:T$1164,17,TRUE)</f>
        <v>#N/A</v>
      </c>
      <c r="K161" s="463" t="e">
        <f>VLOOKUP(157,Order!A$75:T$1164,3,TRUE)</f>
        <v>#N/A</v>
      </c>
    </row>
    <row r="162" spans="1:11" x14ac:dyDescent="0.15">
      <c r="A162" s="468" t="e">
        <f t="shared" si="17"/>
        <v>#N/A</v>
      </c>
      <c r="B162" s="472" t="e">
        <f t="shared" si="18"/>
        <v>#N/A</v>
      </c>
      <c r="C162" s="470" t="e">
        <f t="shared" si="19"/>
        <v>#N/A</v>
      </c>
      <c r="D162" s="473" t="e">
        <f t="shared" si="20"/>
        <v>#N/A</v>
      </c>
      <c r="H162" s="463" t="e">
        <f>VLOOKUP(158,Order!A$75:T$1164,4,TRUE)</f>
        <v>#N/A</v>
      </c>
      <c r="I162" s="463" t="e">
        <f>VLOOKUP(158,Order!A$75:T$1164,2,TRUE)</f>
        <v>#N/A</v>
      </c>
      <c r="J162" s="463" t="e">
        <f>VLOOKUP(158,Order!A$75:T$1164,17,TRUE)</f>
        <v>#N/A</v>
      </c>
      <c r="K162" s="463" t="e">
        <f>VLOOKUP(158,Order!A$75:T$1164,3,TRUE)</f>
        <v>#N/A</v>
      </c>
    </row>
    <row r="163" spans="1:11" x14ac:dyDescent="0.15">
      <c r="A163" s="468" t="e">
        <f t="shared" si="17"/>
        <v>#N/A</v>
      </c>
      <c r="B163" s="472" t="e">
        <f t="shared" si="18"/>
        <v>#N/A</v>
      </c>
      <c r="C163" s="470" t="e">
        <f t="shared" si="19"/>
        <v>#N/A</v>
      </c>
      <c r="D163" s="473" t="e">
        <f t="shared" si="20"/>
        <v>#N/A</v>
      </c>
      <c r="H163" s="463" t="e">
        <f>VLOOKUP(159,Order!A$75:T$1164,4,TRUE)</f>
        <v>#N/A</v>
      </c>
      <c r="I163" s="463" t="e">
        <f>VLOOKUP(159,Order!A$75:T$1164,2,TRUE)</f>
        <v>#N/A</v>
      </c>
      <c r="J163" s="463" t="e">
        <f>VLOOKUP(159,Order!A$75:T$1164,17,TRUE)</f>
        <v>#N/A</v>
      </c>
      <c r="K163" s="463" t="e">
        <f>VLOOKUP(159,Order!A$75:T$1164,3,TRUE)</f>
        <v>#N/A</v>
      </c>
    </row>
    <row r="164" spans="1:11" x14ac:dyDescent="0.15">
      <c r="A164" s="468" t="e">
        <f t="shared" si="17"/>
        <v>#N/A</v>
      </c>
      <c r="B164" s="472" t="e">
        <f t="shared" si="18"/>
        <v>#N/A</v>
      </c>
      <c r="C164" s="470" t="e">
        <f t="shared" si="19"/>
        <v>#N/A</v>
      </c>
      <c r="D164" s="473" t="e">
        <f t="shared" si="20"/>
        <v>#N/A</v>
      </c>
      <c r="H164" s="463" t="e">
        <f>VLOOKUP(160,Order!A$75:T$1164,4,TRUE)</f>
        <v>#N/A</v>
      </c>
      <c r="I164" s="463" t="e">
        <f>VLOOKUP(160,Order!A$75:T$1164,2,TRUE)</f>
        <v>#N/A</v>
      </c>
      <c r="J164" s="463" t="e">
        <f>VLOOKUP(160,Order!A$75:T$1164,17,TRUE)</f>
        <v>#N/A</v>
      </c>
      <c r="K164" s="463" t="e">
        <f>VLOOKUP(160,Order!A$75:T$1164,3,TRUE)</f>
        <v>#N/A</v>
      </c>
    </row>
    <row r="165" spans="1:11" x14ac:dyDescent="0.15">
      <c r="A165" s="468"/>
      <c r="B165" s="472"/>
      <c r="C165" s="470"/>
      <c r="D165" s="473"/>
      <c r="H165" s="463"/>
      <c r="I165" s="463"/>
      <c r="J165" s="463"/>
      <c r="K165" s="463"/>
    </row>
    <row r="166" spans="1:11" x14ac:dyDescent="0.15">
      <c r="H166" s="463"/>
      <c r="I166" s="463"/>
      <c r="J166" s="463"/>
      <c r="K166" s="463"/>
    </row>
    <row r="167" spans="1:11" x14ac:dyDescent="0.15">
      <c r="H167" s="463"/>
      <c r="I167" s="463"/>
      <c r="J167" s="463"/>
      <c r="K167" s="463"/>
    </row>
    <row r="168" spans="1:11" x14ac:dyDescent="0.15">
      <c r="H168" s="463"/>
      <c r="I168" s="463"/>
      <c r="J168" s="463"/>
      <c r="K168" s="463"/>
    </row>
    <row r="169" spans="1:11" x14ac:dyDescent="0.15">
      <c r="H169" s="463"/>
      <c r="I169" s="463"/>
      <c r="J169" s="463"/>
      <c r="K169" s="463"/>
    </row>
    <row r="170" spans="1:11" x14ac:dyDescent="0.15">
      <c r="H170" s="463"/>
      <c r="I170" s="463"/>
      <c r="J170" s="463"/>
      <c r="K170" s="463"/>
    </row>
    <row r="171" spans="1:11" x14ac:dyDescent="0.15">
      <c r="H171" s="463"/>
      <c r="I171" s="463"/>
      <c r="J171" s="463"/>
      <c r="K171" s="463"/>
    </row>
    <row r="172" spans="1:11" x14ac:dyDescent="0.15">
      <c r="H172" s="463"/>
      <c r="I172" s="463"/>
      <c r="J172" s="463"/>
      <c r="K172" s="463"/>
    </row>
    <row r="173" spans="1:11" x14ac:dyDescent="0.15">
      <c r="H173" s="463"/>
      <c r="I173" s="463"/>
      <c r="J173" s="463"/>
      <c r="K173" s="463"/>
    </row>
    <row r="174" spans="1:11" x14ac:dyDescent="0.15">
      <c r="H174" s="463"/>
      <c r="I174" s="463"/>
      <c r="J174" s="463"/>
      <c r="K174" s="463"/>
    </row>
    <row r="175" spans="1:11" x14ac:dyDescent="0.15">
      <c r="H175" s="463"/>
      <c r="I175" s="463"/>
      <c r="J175" s="463"/>
      <c r="K175" s="463"/>
    </row>
    <row r="176" spans="1:11" x14ac:dyDescent="0.15">
      <c r="H176" s="463"/>
      <c r="I176" s="463"/>
      <c r="J176" s="463"/>
      <c r="K176" s="463"/>
    </row>
    <row r="177" spans="8:11" x14ac:dyDescent="0.15">
      <c r="H177" s="463"/>
      <c r="I177" s="463"/>
      <c r="J177" s="463"/>
      <c r="K177" s="463"/>
    </row>
    <row r="178" spans="8:11" x14ac:dyDescent="0.15">
      <c r="H178" s="463"/>
      <c r="I178" s="463"/>
      <c r="J178" s="463"/>
      <c r="K178" s="463"/>
    </row>
    <row r="179" spans="8:11" x14ac:dyDescent="0.15">
      <c r="H179" s="463"/>
      <c r="I179" s="463"/>
      <c r="J179" s="463"/>
      <c r="K179" s="463"/>
    </row>
    <row r="180" spans="8:11" x14ac:dyDescent="0.15">
      <c r="H180" s="463"/>
      <c r="I180" s="463"/>
      <c r="J180" s="463"/>
      <c r="K180" s="463"/>
    </row>
    <row r="181" spans="8:11" x14ac:dyDescent="0.15">
      <c r="H181" s="463"/>
      <c r="I181" s="463"/>
      <c r="J181" s="463"/>
      <c r="K181" s="463"/>
    </row>
    <row r="182" spans="8:11" x14ac:dyDescent="0.15">
      <c r="H182" s="463"/>
      <c r="I182" s="463"/>
      <c r="J182" s="463"/>
      <c r="K182" s="463"/>
    </row>
    <row r="183" spans="8:11" x14ac:dyDescent="0.15">
      <c r="H183" s="463"/>
      <c r="I183" s="463"/>
      <c r="J183" s="463"/>
      <c r="K183" s="463"/>
    </row>
    <row r="184" spans="8:11" x14ac:dyDescent="0.15">
      <c r="H184" s="463"/>
      <c r="I184" s="463"/>
      <c r="J184" s="463"/>
      <c r="K184" s="463"/>
    </row>
    <row r="185" spans="8:11" x14ac:dyDescent="0.15">
      <c r="H185" s="463"/>
      <c r="I185" s="463"/>
      <c r="J185" s="463"/>
      <c r="K185" s="463"/>
    </row>
    <row r="186" spans="8:11" x14ac:dyDescent="0.15">
      <c r="H186" s="463"/>
      <c r="I186" s="463"/>
      <c r="J186" s="463"/>
      <c r="K186" s="463"/>
    </row>
  </sheetData>
  <mergeCells count="2">
    <mergeCell ref="C1:D1"/>
    <mergeCell ref="C4:D4"/>
  </mergeCells>
  <conditionalFormatting sqref="A4:C164 E4:XFD4 D5:XFD164">
    <cfRule type="expression" dxfId="4" priority="14" stopIfTrue="1">
      <formula>$B$6=Total</formula>
    </cfRule>
  </conditionalFormatting>
  <conditionalFormatting sqref="A5:XFD164">
    <cfRule type="expression" dxfId="3" priority="16" stopIfTrue="1">
      <formula>$B6=Total</formula>
    </cfRule>
  </conditionalFormatting>
  <conditionalFormatting sqref="B5:D165">
    <cfRule type="expression" dxfId="2" priority="18" stopIfTrue="1">
      <formula>LEFT(B5,LEN("Total"))="Total"</formula>
    </cfRule>
  </conditionalFormatting>
  <conditionalFormatting sqref="A5:A165">
    <cfRule type="expression" dxfId="1" priority="22" stopIfTrue="1">
      <formula>LEN(TRIM(A5))&gt;0</formula>
    </cfRule>
  </conditionalFormatting>
  <conditionalFormatting sqref="B5 D5 C6:D164 B165:D165">
    <cfRule type="expression" priority="19" stopIfTrue="1">
      <formula>LEN(TRIM(B5))=0</formula>
    </cfRule>
  </conditionalFormatting>
  <conditionalFormatting sqref="B6:B164">
    <cfRule type="expression" priority="20" stopIfTrue="1">
      <formula>LEN(TRIM(B6))=0</formula>
    </cfRule>
  </conditionalFormatting>
  <conditionalFormatting sqref="C5">
    <cfRule type="expression" priority="21" stopIfTrue="1">
      <formula>LEN(TRIM(C5))=0</formula>
    </cfRule>
  </conditionalFormatting>
  <conditionalFormatting sqref="B4:C4">
    <cfRule type="expression" priority="15" stopIfTrue="1">
      <formula>LEN(TRIM(B4))=0</formula>
    </cfRule>
  </conditionalFormatting>
  <conditionalFormatting sqref="B5:B164">
    <cfRule type="expression" dxfId="0" priority="17" stopIfTrue="1">
      <formula>NOT(ISERROR(SEARCH("Total",B5)))</formula>
    </cfRule>
  </conditionalFormatting>
  <pageMargins left="0.70866141732283516" right="0.70866141732283516" top="0.55118110236220508" bottom="0.74803149606299213" header="0.31496062992126012" footer="0.31496062992126012"/>
  <pageSetup paperSize="9" fitToWidth="0" fitToHeight="0" orientation="portrait" r:id="rId1"/>
  <headerFooter>
    <oddHeader>&amp;CPage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539"/>
  <sheetViews>
    <sheetView topLeftCell="A28" zoomScale="110" zoomScaleNormal="110" workbookViewId="0">
      <selection activeCell="E57" sqref="E57"/>
    </sheetView>
  </sheetViews>
  <sheetFormatPr defaultRowHeight="15" x14ac:dyDescent="0.25"/>
  <cols>
    <col min="1" max="1" width="26" style="521" customWidth="1"/>
    <col min="2" max="29" width="4" customWidth="1"/>
    <col min="30" max="30" width="37.42578125" bestFit="1" customWidth="1"/>
    <col min="31" max="34" width="5.7109375" customWidth="1"/>
    <col min="35" max="35" width="7.7109375" style="521" customWidth="1"/>
    <col min="36" max="36" width="3.85546875" style="522" bestFit="1" customWidth="1"/>
    <col min="37" max="37" width="16.28515625" style="523" bestFit="1" customWidth="1"/>
    <col min="38" max="38" width="8.85546875" customWidth="1"/>
  </cols>
  <sheetData>
    <row r="1" spans="1:37" x14ac:dyDescent="0.25">
      <c r="A1" s="474" t="s">
        <v>1170</v>
      </c>
      <c r="B1" s="475" t="s">
        <v>1171</v>
      </c>
      <c r="C1" s="476" t="s">
        <v>1172</v>
      </c>
      <c r="D1" s="476" t="s">
        <v>1173</v>
      </c>
      <c r="E1" s="476" t="s">
        <v>1174</v>
      </c>
      <c r="F1" s="476" t="s">
        <v>1175</v>
      </c>
      <c r="G1" s="476" t="s">
        <v>1176</v>
      </c>
      <c r="H1" s="477" t="s">
        <v>1177</v>
      </c>
      <c r="I1" s="475" t="s">
        <v>1178</v>
      </c>
      <c r="J1" s="476" t="s">
        <v>1179</v>
      </c>
      <c r="K1" s="476" t="s">
        <v>1180</v>
      </c>
      <c r="L1" s="476" t="s">
        <v>1181</v>
      </c>
      <c r="M1" s="476" t="s">
        <v>1182</v>
      </c>
      <c r="N1" s="476" t="s">
        <v>1183</v>
      </c>
      <c r="O1" s="477" t="s">
        <v>1184</v>
      </c>
      <c r="P1" s="476" t="s">
        <v>1185</v>
      </c>
      <c r="Q1" s="476" t="s">
        <v>1186</v>
      </c>
      <c r="R1" s="476" t="s">
        <v>1187</v>
      </c>
      <c r="S1" s="476" t="s">
        <v>1188</v>
      </c>
      <c r="T1" s="476" t="s">
        <v>1189</v>
      </c>
      <c r="U1" s="476" t="s">
        <v>1190</v>
      </c>
      <c r="V1" s="478" t="s">
        <v>1191</v>
      </c>
      <c r="W1" s="475" t="s">
        <v>1192</v>
      </c>
      <c r="X1" s="476" t="s">
        <v>1193</v>
      </c>
      <c r="Y1" s="476" t="s">
        <v>1194</v>
      </c>
      <c r="Z1" s="476" t="s">
        <v>1195</v>
      </c>
      <c r="AA1" s="476" t="s">
        <v>1196</v>
      </c>
      <c r="AB1" s="476" t="s">
        <v>1197</v>
      </c>
      <c r="AC1" s="477" t="s">
        <v>1198</v>
      </c>
      <c r="AD1" s="479" t="s">
        <v>1167</v>
      </c>
      <c r="AE1" s="480" t="s">
        <v>1199</v>
      </c>
      <c r="AF1" s="480" t="s">
        <v>1200</v>
      </c>
      <c r="AG1" s="480" t="s">
        <v>1201</v>
      </c>
      <c r="AH1" s="480" t="s">
        <v>1202</v>
      </c>
      <c r="AI1" s="481" t="s">
        <v>1169</v>
      </c>
      <c r="AJ1" s="482" t="s">
        <v>1203</v>
      </c>
      <c r="AK1" s="482" t="s">
        <v>1204</v>
      </c>
    </row>
    <row r="2" spans="1:37" x14ac:dyDescent="0.25">
      <c r="A2" s="483" t="s">
        <v>52</v>
      </c>
      <c r="B2" s="484" t="s">
        <v>56</v>
      </c>
      <c r="C2" s="485"/>
      <c r="D2" s="485" t="s">
        <v>66</v>
      </c>
      <c r="E2" s="485"/>
      <c r="F2" s="485"/>
      <c r="G2" s="486" t="s">
        <v>1205</v>
      </c>
      <c r="H2" s="487">
        <v>4</v>
      </c>
      <c r="I2" s="484" t="s">
        <v>56</v>
      </c>
      <c r="J2" s="485"/>
      <c r="K2" s="485" t="s">
        <v>66</v>
      </c>
      <c r="L2" s="485"/>
      <c r="M2" s="485"/>
      <c r="N2" s="486" t="s">
        <v>1205</v>
      </c>
      <c r="O2" s="487">
        <v>4</v>
      </c>
      <c r="P2" s="485" t="s">
        <v>66</v>
      </c>
      <c r="Q2" s="485"/>
      <c r="R2" s="485" t="s">
        <v>66</v>
      </c>
      <c r="S2" s="485" t="s">
        <v>66</v>
      </c>
      <c r="T2" s="485"/>
      <c r="U2" s="486" t="s">
        <v>1205</v>
      </c>
      <c r="V2" s="486">
        <v>2</v>
      </c>
      <c r="W2" s="484"/>
      <c r="X2" s="485"/>
      <c r="Y2" s="485"/>
      <c r="Z2" s="485"/>
      <c r="AA2" s="485"/>
      <c r="AB2" s="486" t="s">
        <v>1205</v>
      </c>
      <c r="AC2" s="487">
        <v>1</v>
      </c>
      <c r="AD2" s="486" t="s">
        <v>1206</v>
      </c>
      <c r="AE2" s="458">
        <f t="shared" ref="AE2:AE43" si="0">IF(G2="S",25,IF(G2="M",35,IF(G2="L",55,"")))</f>
        <v>35</v>
      </c>
      <c r="AF2">
        <f t="shared" ref="AF2:AF9" si="1">IF(N2="S",25,IF(N2="M",35,IF(N2="L",55,"")))</f>
        <v>35</v>
      </c>
      <c r="AG2">
        <f t="shared" ref="AG2:AG9" si="2">IF(U2="S",30,IF(U2="M",45,IF(U2="L",60,"")))</f>
        <v>45</v>
      </c>
      <c r="AH2">
        <f t="shared" ref="AH2:AH9" si="3">IF(AB2="S",30,IF(AB2="M",45,IF(AB2="L",60,"")))</f>
        <v>45</v>
      </c>
      <c r="AI2" s="488"/>
      <c r="AJ2" s="489">
        <v>41</v>
      </c>
      <c r="AK2" s="490" t="s">
        <v>1207</v>
      </c>
    </row>
    <row r="3" spans="1:37" x14ac:dyDescent="0.25">
      <c r="A3" s="483" t="s">
        <v>58</v>
      </c>
      <c r="B3" s="484" t="s">
        <v>56</v>
      </c>
      <c r="C3" s="485"/>
      <c r="D3" s="485" t="s">
        <v>66</v>
      </c>
      <c r="E3" s="485"/>
      <c r="F3" s="485"/>
      <c r="G3" s="486" t="s">
        <v>1205</v>
      </c>
      <c r="H3" s="487">
        <v>4</v>
      </c>
      <c r="I3" s="484" t="s">
        <v>56</v>
      </c>
      <c r="J3" s="485" t="s">
        <v>66</v>
      </c>
      <c r="K3" s="485" t="s">
        <v>66</v>
      </c>
      <c r="L3" s="485"/>
      <c r="M3" s="485"/>
      <c r="N3" s="486" t="s">
        <v>1208</v>
      </c>
      <c r="O3" s="487">
        <v>1</v>
      </c>
      <c r="P3" s="485"/>
      <c r="Q3" s="485"/>
      <c r="R3" s="485"/>
      <c r="S3" s="485"/>
      <c r="T3" s="485"/>
      <c r="U3" s="486"/>
      <c r="V3" s="486"/>
      <c r="W3" s="484"/>
      <c r="X3" s="485"/>
      <c r="Y3" s="485"/>
      <c r="Z3" s="485"/>
      <c r="AA3" s="485"/>
      <c r="AB3" s="486"/>
      <c r="AC3" s="487"/>
      <c r="AD3" s="486" t="s">
        <v>1206</v>
      </c>
      <c r="AE3" s="458">
        <f t="shared" si="0"/>
        <v>35</v>
      </c>
      <c r="AF3">
        <f t="shared" si="1"/>
        <v>35</v>
      </c>
      <c r="AG3" t="str">
        <f t="shared" si="2"/>
        <v/>
      </c>
      <c r="AH3" t="str">
        <f t="shared" si="3"/>
        <v/>
      </c>
      <c r="AI3" s="488"/>
      <c r="AJ3" s="489">
        <v>234</v>
      </c>
      <c r="AK3" s="490" t="s">
        <v>1207</v>
      </c>
    </row>
    <row r="4" spans="1:37" x14ac:dyDescent="0.25">
      <c r="A4" s="483" t="s">
        <v>594</v>
      </c>
      <c r="B4" s="491"/>
      <c r="C4" s="492"/>
      <c r="D4" s="492"/>
      <c r="E4" s="492"/>
      <c r="F4" s="492"/>
      <c r="G4" s="493"/>
      <c r="H4" s="494"/>
      <c r="I4" s="484" t="s">
        <v>56</v>
      </c>
      <c r="J4" s="485"/>
      <c r="K4" s="485" t="s">
        <v>66</v>
      </c>
      <c r="L4" s="485"/>
      <c r="M4" s="485"/>
      <c r="N4" s="486" t="s">
        <v>1205</v>
      </c>
      <c r="O4" s="487">
        <v>2</v>
      </c>
      <c r="P4" s="485"/>
      <c r="Q4" s="485"/>
      <c r="R4" s="485"/>
      <c r="S4" s="485"/>
      <c r="T4" s="485"/>
      <c r="U4" s="486"/>
      <c r="V4" s="486"/>
      <c r="W4" s="484"/>
      <c r="X4" s="485"/>
      <c r="Y4" s="485"/>
      <c r="Z4" s="485"/>
      <c r="AA4" s="485"/>
      <c r="AB4" s="486"/>
      <c r="AC4" s="487"/>
      <c r="AD4" s="486"/>
      <c r="AE4" s="458" t="str">
        <f t="shared" si="0"/>
        <v/>
      </c>
      <c r="AF4">
        <f t="shared" si="1"/>
        <v>35</v>
      </c>
      <c r="AG4" t="str">
        <f t="shared" si="2"/>
        <v/>
      </c>
      <c r="AH4" t="str">
        <f t="shared" si="3"/>
        <v/>
      </c>
      <c r="AI4" s="488"/>
      <c r="AJ4" s="489"/>
      <c r="AK4" s="490"/>
    </row>
    <row r="5" spans="1:37" x14ac:dyDescent="0.25">
      <c r="A5" s="483" t="s">
        <v>60</v>
      </c>
      <c r="B5" s="484" t="s">
        <v>66</v>
      </c>
      <c r="C5" s="485" t="s">
        <v>66</v>
      </c>
      <c r="D5" s="485" t="s">
        <v>66</v>
      </c>
      <c r="E5" s="485"/>
      <c r="F5" s="485"/>
      <c r="G5" s="486" t="s">
        <v>1208</v>
      </c>
      <c r="H5" s="487">
        <v>2</v>
      </c>
      <c r="I5" s="484"/>
      <c r="J5" s="485"/>
      <c r="K5" s="485"/>
      <c r="L5" s="485"/>
      <c r="M5" s="485"/>
      <c r="N5" s="486" t="s">
        <v>1209</v>
      </c>
      <c r="O5" s="487">
        <v>2</v>
      </c>
      <c r="P5" s="485"/>
      <c r="Q5" s="485"/>
      <c r="R5" s="485"/>
      <c r="S5" s="485"/>
      <c r="T5" s="485"/>
      <c r="U5" s="486"/>
      <c r="V5" s="486"/>
      <c r="W5" s="484"/>
      <c r="X5" s="485"/>
      <c r="Y5" s="485"/>
      <c r="Z5" s="485"/>
      <c r="AA5" s="485"/>
      <c r="AB5" s="486"/>
      <c r="AC5" s="487"/>
      <c r="AD5" s="486" t="s">
        <v>1206</v>
      </c>
      <c r="AE5" s="458">
        <f t="shared" si="0"/>
        <v>35</v>
      </c>
      <c r="AF5">
        <f t="shared" si="1"/>
        <v>55</v>
      </c>
      <c r="AG5" t="str">
        <f t="shared" si="2"/>
        <v/>
      </c>
      <c r="AH5" t="str">
        <f t="shared" si="3"/>
        <v/>
      </c>
      <c r="AI5" s="488">
        <v>100</v>
      </c>
      <c r="AJ5" s="490">
        <v>32</v>
      </c>
      <c r="AK5" s="490" t="s">
        <v>1207</v>
      </c>
    </row>
    <row r="6" spans="1:37" x14ac:dyDescent="0.25">
      <c r="A6" s="483" t="s">
        <v>67</v>
      </c>
      <c r="B6" s="484"/>
      <c r="C6" s="485"/>
      <c r="D6" s="485"/>
      <c r="E6" s="485"/>
      <c r="F6" s="485"/>
      <c r="G6" s="486" t="s">
        <v>1209</v>
      </c>
      <c r="H6" s="487">
        <v>2</v>
      </c>
      <c r="I6" s="484" t="s">
        <v>66</v>
      </c>
      <c r="J6" s="485" t="s">
        <v>66</v>
      </c>
      <c r="K6" s="485" t="s">
        <v>66</v>
      </c>
      <c r="L6" s="485"/>
      <c r="M6" s="485"/>
      <c r="N6" s="486" t="s">
        <v>1205</v>
      </c>
      <c r="O6" s="487" t="s">
        <v>1209</v>
      </c>
      <c r="P6" s="485"/>
      <c r="Q6" s="485"/>
      <c r="R6" s="485"/>
      <c r="S6" s="485"/>
      <c r="T6" s="485"/>
      <c r="U6" s="486"/>
      <c r="V6" s="486"/>
      <c r="W6" s="484"/>
      <c r="X6" s="485"/>
      <c r="Y6" s="485"/>
      <c r="Z6" s="485"/>
      <c r="AA6" s="485"/>
      <c r="AB6" s="486"/>
      <c r="AC6" s="487"/>
      <c r="AD6" s="486" t="s">
        <v>1206</v>
      </c>
      <c r="AE6" s="458">
        <f t="shared" si="0"/>
        <v>55</v>
      </c>
      <c r="AF6">
        <f t="shared" si="1"/>
        <v>35</v>
      </c>
      <c r="AG6" t="str">
        <f t="shared" si="2"/>
        <v/>
      </c>
      <c r="AH6" t="str">
        <f t="shared" si="3"/>
        <v/>
      </c>
      <c r="AI6" s="488"/>
      <c r="AJ6" s="490">
        <v>33</v>
      </c>
      <c r="AK6" s="490" t="s">
        <v>1207</v>
      </c>
    </row>
    <row r="7" spans="1:37" x14ac:dyDescent="0.25">
      <c r="A7" s="483" t="s">
        <v>70</v>
      </c>
      <c r="B7" s="484"/>
      <c r="C7" s="485"/>
      <c r="D7" s="485"/>
      <c r="E7" s="485"/>
      <c r="F7" s="485"/>
      <c r="G7" s="486" t="s">
        <v>1208</v>
      </c>
      <c r="H7" s="487">
        <v>1</v>
      </c>
      <c r="I7" s="484"/>
      <c r="J7" s="485"/>
      <c r="K7" s="485"/>
      <c r="L7" s="485"/>
      <c r="M7" s="485"/>
      <c r="N7" s="486"/>
      <c r="O7" s="487"/>
      <c r="P7" s="485"/>
      <c r="Q7" s="485"/>
      <c r="R7" s="485"/>
      <c r="S7" s="485"/>
      <c r="T7" s="485"/>
      <c r="U7" s="486"/>
      <c r="V7" s="486"/>
      <c r="W7" s="484"/>
      <c r="X7" s="485"/>
      <c r="Y7" s="485"/>
      <c r="Z7" s="485"/>
      <c r="AA7" s="485"/>
      <c r="AB7" s="486"/>
      <c r="AC7" s="487"/>
      <c r="AD7" s="486" t="s">
        <v>1206</v>
      </c>
      <c r="AE7" s="458">
        <f t="shared" si="0"/>
        <v>35</v>
      </c>
      <c r="AF7" t="str">
        <f t="shared" si="1"/>
        <v/>
      </c>
      <c r="AG7" t="str">
        <f t="shared" si="2"/>
        <v/>
      </c>
      <c r="AH7" t="str">
        <f t="shared" si="3"/>
        <v/>
      </c>
      <c r="AI7" s="488"/>
      <c r="AJ7" s="489"/>
      <c r="AK7" s="490" t="s">
        <v>1207</v>
      </c>
    </row>
    <row r="8" spans="1:37" x14ac:dyDescent="0.25">
      <c r="A8" s="483" t="s">
        <v>74</v>
      </c>
      <c r="B8" s="484" t="s">
        <v>66</v>
      </c>
      <c r="C8" s="485"/>
      <c r="D8" s="485" t="s">
        <v>66</v>
      </c>
      <c r="E8" s="485" t="s">
        <v>66</v>
      </c>
      <c r="F8" s="485"/>
      <c r="G8" s="486" t="s">
        <v>1208</v>
      </c>
      <c r="H8" s="487">
        <v>1</v>
      </c>
      <c r="I8" s="484" t="s">
        <v>66</v>
      </c>
      <c r="J8" s="485"/>
      <c r="K8" s="485" t="s">
        <v>66</v>
      </c>
      <c r="L8" s="485" t="s">
        <v>66</v>
      </c>
      <c r="M8" s="485"/>
      <c r="N8" s="486" t="s">
        <v>1205</v>
      </c>
      <c r="O8" s="487">
        <v>1</v>
      </c>
      <c r="P8" s="485"/>
      <c r="Q8" s="485"/>
      <c r="R8" s="485"/>
      <c r="S8" s="485"/>
      <c r="T8" s="485"/>
      <c r="U8" s="486"/>
      <c r="V8" s="486">
        <v>1</v>
      </c>
      <c r="W8" s="484"/>
      <c r="X8" s="485"/>
      <c r="Y8" s="485"/>
      <c r="Z8" s="485"/>
      <c r="AA8" s="485"/>
      <c r="AB8" s="486"/>
      <c r="AC8" s="487"/>
      <c r="AD8" s="486" t="s">
        <v>1206</v>
      </c>
      <c r="AE8" s="458">
        <f t="shared" si="0"/>
        <v>35</v>
      </c>
      <c r="AF8">
        <f t="shared" si="1"/>
        <v>35</v>
      </c>
      <c r="AG8" t="str">
        <f t="shared" si="2"/>
        <v/>
      </c>
      <c r="AH8" t="str">
        <f t="shared" si="3"/>
        <v/>
      </c>
      <c r="AI8" s="488">
        <v>200</v>
      </c>
      <c r="AJ8" s="490">
        <v>34</v>
      </c>
      <c r="AK8" s="490" t="s">
        <v>1207</v>
      </c>
    </row>
    <row r="9" spans="1:37" x14ac:dyDescent="0.25">
      <c r="A9" s="483" t="s">
        <v>77</v>
      </c>
      <c r="B9" s="484"/>
      <c r="C9" s="485"/>
      <c r="D9" s="485"/>
      <c r="E9" s="485"/>
      <c r="F9" s="485"/>
      <c r="G9" s="486" t="s">
        <v>1208</v>
      </c>
      <c r="H9" s="487">
        <v>2</v>
      </c>
      <c r="I9" s="484"/>
      <c r="J9" s="485"/>
      <c r="K9" s="485"/>
      <c r="L9" s="485"/>
      <c r="M9" s="485"/>
      <c r="N9" s="486" t="s">
        <v>1208</v>
      </c>
      <c r="O9" s="487">
        <v>2</v>
      </c>
      <c r="P9" s="485"/>
      <c r="Q9" s="485"/>
      <c r="R9" s="485"/>
      <c r="S9" s="485"/>
      <c r="T9" s="485"/>
      <c r="U9" s="486"/>
      <c r="V9" s="486"/>
      <c r="W9" s="484"/>
      <c r="X9" s="485"/>
      <c r="Y9" s="485"/>
      <c r="Z9" s="485"/>
      <c r="AA9" s="485"/>
      <c r="AB9" s="486"/>
      <c r="AC9" s="487"/>
      <c r="AD9" s="486" t="s">
        <v>1206</v>
      </c>
      <c r="AE9" s="458">
        <f t="shared" si="0"/>
        <v>35</v>
      </c>
      <c r="AF9">
        <f t="shared" si="1"/>
        <v>35</v>
      </c>
      <c r="AG9" t="str">
        <f t="shared" si="2"/>
        <v/>
      </c>
      <c r="AH9" t="str">
        <f t="shared" si="3"/>
        <v/>
      </c>
      <c r="AI9" s="488">
        <v>300</v>
      </c>
      <c r="AJ9" s="490">
        <v>35</v>
      </c>
      <c r="AK9" s="490" t="s">
        <v>1207</v>
      </c>
    </row>
    <row r="10" spans="1:37" x14ac:dyDescent="0.25">
      <c r="A10" s="483" t="s">
        <v>1380</v>
      </c>
      <c r="B10" s="484"/>
      <c r="C10" s="485"/>
      <c r="D10" s="485"/>
      <c r="E10" s="485"/>
      <c r="F10" s="485"/>
      <c r="G10" s="486" t="s">
        <v>1205</v>
      </c>
      <c r="H10" s="487">
        <v>2</v>
      </c>
      <c r="I10" s="484"/>
      <c r="J10" s="485"/>
      <c r="K10" s="485"/>
      <c r="L10" s="485"/>
      <c r="M10" s="485"/>
      <c r="N10" s="486"/>
      <c r="O10" s="487"/>
      <c r="P10" s="485"/>
      <c r="Q10" s="485"/>
      <c r="R10" s="485"/>
      <c r="S10" s="485"/>
      <c r="T10" s="485"/>
      <c r="U10" s="486"/>
      <c r="V10" s="486"/>
      <c r="W10" s="484"/>
      <c r="X10" s="485"/>
      <c r="Y10" s="485"/>
      <c r="Z10" s="485"/>
      <c r="AA10" s="485"/>
      <c r="AB10" s="486"/>
      <c r="AC10" s="487"/>
      <c r="AD10" s="486"/>
      <c r="AE10" s="458">
        <f t="shared" si="0"/>
        <v>35</v>
      </c>
      <c r="AI10" s="488"/>
      <c r="AJ10" s="490"/>
      <c r="AK10" s="490"/>
    </row>
    <row r="11" spans="1:37" x14ac:dyDescent="0.25">
      <c r="A11" s="483" t="s">
        <v>80</v>
      </c>
      <c r="B11" s="484"/>
      <c r="C11" s="485"/>
      <c r="D11" s="485"/>
      <c r="E11" s="485"/>
      <c r="F11" s="485"/>
      <c r="G11" s="486"/>
      <c r="H11" s="487">
        <v>2</v>
      </c>
      <c r="I11" s="484"/>
      <c r="J11" s="485"/>
      <c r="K11" s="485"/>
      <c r="L11" s="485"/>
      <c r="M11" s="485"/>
      <c r="N11" s="486"/>
      <c r="O11" s="487"/>
      <c r="P11" s="485"/>
      <c r="Q11" s="485"/>
      <c r="R11" s="485"/>
      <c r="S11" s="485"/>
      <c r="T11" s="485"/>
      <c r="U11" s="486"/>
      <c r="V11" s="486"/>
      <c r="W11" s="484"/>
      <c r="X11" s="485"/>
      <c r="Y11" s="485"/>
      <c r="Z11" s="485"/>
      <c r="AA11" s="485"/>
      <c r="AB11" s="486"/>
      <c r="AC11" s="487"/>
      <c r="AD11" s="486" t="s">
        <v>1206</v>
      </c>
      <c r="AE11" s="458" t="str">
        <f t="shared" si="0"/>
        <v/>
      </c>
      <c r="AF11" t="str">
        <f t="shared" ref="AF11:AF44" si="4">IF(N11="S",25,IF(N11="M",35,IF(N11="L",55,"")))</f>
        <v/>
      </c>
      <c r="AG11" t="str">
        <f t="shared" ref="AG11:AG43" si="5">IF(U11="S",30,IF(U11="M",45,IF(U11="L",60,"")))</f>
        <v/>
      </c>
      <c r="AH11" t="str">
        <f t="shared" ref="AH11:AH43" si="6">IF(AB11="S",30,IF(AB11="M",45,IF(AB11="L",60,"")))</f>
        <v/>
      </c>
      <c r="AI11" s="488"/>
      <c r="AJ11" s="490">
        <v>36</v>
      </c>
      <c r="AK11" s="490" t="s">
        <v>1207</v>
      </c>
    </row>
    <row r="12" spans="1:37" x14ac:dyDescent="0.25">
      <c r="A12" s="483" t="s">
        <v>83</v>
      </c>
      <c r="B12" s="484"/>
      <c r="C12" s="485"/>
      <c r="D12" s="485"/>
      <c r="E12" s="485"/>
      <c r="F12" s="485"/>
      <c r="G12" s="486" t="s">
        <v>1211</v>
      </c>
      <c r="H12" s="487">
        <v>1</v>
      </c>
      <c r="I12" s="484"/>
      <c r="J12" s="485"/>
      <c r="K12" s="485"/>
      <c r="L12" s="485"/>
      <c r="M12" s="485"/>
      <c r="N12" s="486" t="s">
        <v>1209</v>
      </c>
      <c r="O12" s="487"/>
      <c r="P12" s="485"/>
      <c r="Q12" s="485"/>
      <c r="R12" s="485"/>
      <c r="S12" s="485"/>
      <c r="T12" s="485"/>
      <c r="U12" s="486"/>
      <c r="V12" s="486"/>
      <c r="W12" s="484"/>
      <c r="X12" s="485"/>
      <c r="Y12" s="485"/>
      <c r="Z12" s="485"/>
      <c r="AA12" s="485"/>
      <c r="AB12" s="486"/>
      <c r="AC12" s="487"/>
      <c r="AD12" s="486" t="s">
        <v>1206</v>
      </c>
      <c r="AE12" s="458">
        <f t="shared" si="0"/>
        <v>55</v>
      </c>
      <c r="AF12">
        <f t="shared" si="4"/>
        <v>55</v>
      </c>
      <c r="AG12" t="str">
        <f t="shared" si="5"/>
        <v/>
      </c>
      <c r="AH12" t="str">
        <f t="shared" si="6"/>
        <v/>
      </c>
      <c r="AI12" s="488"/>
      <c r="AJ12" s="489"/>
      <c r="AK12" s="490" t="s">
        <v>1207</v>
      </c>
    </row>
    <row r="13" spans="1:37" x14ac:dyDescent="0.25">
      <c r="A13" s="483" t="s">
        <v>86</v>
      </c>
      <c r="B13" s="484" t="s">
        <v>66</v>
      </c>
      <c r="C13" s="485" t="s">
        <v>66</v>
      </c>
      <c r="D13" s="485" t="s">
        <v>66</v>
      </c>
      <c r="E13" s="485"/>
      <c r="F13" s="485" t="s">
        <v>66</v>
      </c>
      <c r="G13" s="486" t="s">
        <v>1209</v>
      </c>
      <c r="H13" s="487">
        <v>1</v>
      </c>
      <c r="I13" s="484"/>
      <c r="J13" s="485"/>
      <c r="K13" s="485"/>
      <c r="L13" s="485"/>
      <c r="M13" s="485"/>
      <c r="N13" s="486" t="s">
        <v>1209</v>
      </c>
      <c r="O13" s="487">
        <v>1</v>
      </c>
      <c r="P13" s="485"/>
      <c r="Q13" s="485"/>
      <c r="R13" s="485"/>
      <c r="S13" s="485"/>
      <c r="T13" s="485"/>
      <c r="U13" s="486"/>
      <c r="V13" s="486"/>
      <c r="W13" s="484"/>
      <c r="X13" s="485"/>
      <c r="Y13" s="485"/>
      <c r="Z13" s="485"/>
      <c r="AA13" s="485"/>
      <c r="AB13" s="486"/>
      <c r="AC13" s="487"/>
      <c r="AD13" s="486" t="s">
        <v>1206</v>
      </c>
      <c r="AE13" s="458">
        <f t="shared" si="0"/>
        <v>55</v>
      </c>
      <c r="AF13">
        <f t="shared" si="4"/>
        <v>55</v>
      </c>
      <c r="AG13" t="str">
        <f t="shared" si="5"/>
        <v/>
      </c>
      <c r="AH13" t="str">
        <f t="shared" si="6"/>
        <v/>
      </c>
      <c r="AI13" s="488">
        <v>500</v>
      </c>
      <c r="AJ13" s="490">
        <v>37</v>
      </c>
      <c r="AK13" s="490" t="s">
        <v>1207</v>
      </c>
    </row>
    <row r="14" spans="1:37" x14ac:dyDescent="0.25">
      <c r="A14" s="483" t="s">
        <v>595</v>
      </c>
      <c r="B14" s="491"/>
      <c r="C14" s="492"/>
      <c r="D14" s="492"/>
      <c r="E14" s="492"/>
      <c r="F14" s="492"/>
      <c r="G14" s="493"/>
      <c r="H14" s="494"/>
      <c r="I14" s="484"/>
      <c r="J14" s="485"/>
      <c r="K14" s="485"/>
      <c r="L14" s="485"/>
      <c r="M14" s="485"/>
      <c r="N14" s="486"/>
      <c r="O14" s="487">
        <v>2</v>
      </c>
      <c r="P14" s="485"/>
      <c r="Q14" s="485"/>
      <c r="R14" s="485"/>
      <c r="S14" s="485"/>
      <c r="T14" s="485"/>
      <c r="U14" s="486"/>
      <c r="V14" s="486"/>
      <c r="W14" s="484"/>
      <c r="X14" s="485"/>
      <c r="Y14" s="485"/>
      <c r="Z14" s="485"/>
      <c r="AA14" s="485"/>
      <c r="AB14" s="486"/>
      <c r="AC14" s="487"/>
      <c r="AD14" s="486"/>
      <c r="AE14" s="458" t="str">
        <f t="shared" si="0"/>
        <v/>
      </c>
      <c r="AF14" t="str">
        <f t="shared" si="4"/>
        <v/>
      </c>
      <c r="AG14" t="str">
        <f t="shared" si="5"/>
        <v/>
      </c>
      <c r="AH14" t="str">
        <f t="shared" si="6"/>
        <v/>
      </c>
      <c r="AI14" s="488"/>
      <c r="AJ14" s="490"/>
      <c r="AK14" s="490"/>
    </row>
    <row r="15" spans="1:37" x14ac:dyDescent="0.25">
      <c r="A15" s="483" t="s">
        <v>89</v>
      </c>
      <c r="B15" s="484"/>
      <c r="C15" s="485"/>
      <c r="D15" s="485"/>
      <c r="E15" s="485"/>
      <c r="F15" s="485"/>
      <c r="G15" s="486"/>
      <c r="H15" s="487">
        <v>2</v>
      </c>
      <c r="I15" s="484" t="s">
        <v>66</v>
      </c>
      <c r="J15" s="485" t="s">
        <v>66</v>
      </c>
      <c r="K15" s="485" t="s">
        <v>66</v>
      </c>
      <c r="L15" s="485"/>
      <c r="M15" s="485"/>
      <c r="N15" s="486" t="s">
        <v>1205</v>
      </c>
      <c r="O15" s="487">
        <v>1</v>
      </c>
      <c r="P15" s="485"/>
      <c r="Q15" s="485"/>
      <c r="R15" s="485"/>
      <c r="S15" s="485"/>
      <c r="T15" s="485"/>
      <c r="U15" s="486"/>
      <c r="V15" s="486"/>
      <c r="W15" s="484"/>
      <c r="X15" s="485"/>
      <c r="Y15" s="485"/>
      <c r="Z15" s="485"/>
      <c r="AA15" s="485"/>
      <c r="AB15" s="486"/>
      <c r="AC15" s="487"/>
      <c r="AD15" s="486" t="s">
        <v>1206</v>
      </c>
      <c r="AE15" s="458" t="str">
        <f t="shared" si="0"/>
        <v/>
      </c>
      <c r="AF15">
        <f t="shared" si="4"/>
        <v>35</v>
      </c>
      <c r="AG15" t="str">
        <f t="shared" si="5"/>
        <v/>
      </c>
      <c r="AH15" t="str">
        <f t="shared" si="6"/>
        <v/>
      </c>
      <c r="AI15" s="488"/>
      <c r="AJ15" s="490">
        <v>38</v>
      </c>
      <c r="AK15" s="490" t="s">
        <v>1207</v>
      </c>
    </row>
    <row r="16" spans="1:37" x14ac:dyDescent="0.25">
      <c r="A16" s="483" t="s">
        <v>92</v>
      </c>
      <c r="B16" s="484"/>
      <c r="C16" s="485"/>
      <c r="D16" s="485"/>
      <c r="E16" s="485"/>
      <c r="F16" s="485"/>
      <c r="G16" s="486" t="s">
        <v>1211</v>
      </c>
      <c r="H16" s="487">
        <v>3</v>
      </c>
      <c r="I16" s="484"/>
      <c r="J16" s="485"/>
      <c r="K16" s="485"/>
      <c r="L16" s="485"/>
      <c r="M16" s="485"/>
      <c r="N16" s="486"/>
      <c r="O16" s="487"/>
      <c r="P16" s="485"/>
      <c r="Q16" s="485"/>
      <c r="R16" s="485"/>
      <c r="S16" s="485"/>
      <c r="T16" s="485"/>
      <c r="U16" s="486"/>
      <c r="V16" s="486"/>
      <c r="W16" s="484"/>
      <c r="X16" s="485"/>
      <c r="Y16" s="485"/>
      <c r="Z16" s="485"/>
      <c r="AA16" s="485"/>
      <c r="AB16" s="486"/>
      <c r="AC16" s="487"/>
      <c r="AD16" s="486" t="s">
        <v>1206</v>
      </c>
      <c r="AE16" s="458">
        <f t="shared" si="0"/>
        <v>55</v>
      </c>
      <c r="AF16" t="str">
        <f t="shared" si="4"/>
        <v/>
      </c>
      <c r="AG16" t="str">
        <f t="shared" si="5"/>
        <v/>
      </c>
      <c r="AH16" t="str">
        <f t="shared" si="6"/>
        <v/>
      </c>
      <c r="AI16" s="488"/>
      <c r="AJ16" s="490">
        <v>39</v>
      </c>
      <c r="AK16" s="490" t="s">
        <v>1207</v>
      </c>
    </row>
    <row r="17" spans="1:37" x14ac:dyDescent="0.25">
      <c r="A17" s="483" t="s">
        <v>95</v>
      </c>
      <c r="B17" s="484"/>
      <c r="C17" s="485"/>
      <c r="D17" s="485"/>
      <c r="E17" s="485"/>
      <c r="F17" s="485"/>
      <c r="G17" s="486"/>
      <c r="H17" s="487">
        <v>1</v>
      </c>
      <c r="I17" s="484"/>
      <c r="J17" s="485"/>
      <c r="K17" s="485"/>
      <c r="L17" s="485"/>
      <c r="M17" s="485"/>
      <c r="N17" s="486" t="s">
        <v>1209</v>
      </c>
      <c r="O17" s="487">
        <v>1</v>
      </c>
      <c r="P17" s="485"/>
      <c r="Q17" s="485"/>
      <c r="R17" s="485"/>
      <c r="S17" s="485"/>
      <c r="T17" s="485"/>
      <c r="U17" s="486"/>
      <c r="V17" s="486"/>
      <c r="W17" s="484"/>
      <c r="X17" s="485"/>
      <c r="Y17" s="485"/>
      <c r="Z17" s="485"/>
      <c r="AA17" s="485"/>
      <c r="AB17" s="486"/>
      <c r="AC17" s="487"/>
      <c r="AD17" s="486" t="s">
        <v>1206</v>
      </c>
      <c r="AE17" s="458" t="str">
        <f t="shared" si="0"/>
        <v/>
      </c>
      <c r="AF17">
        <f t="shared" si="4"/>
        <v>55</v>
      </c>
      <c r="AG17" t="str">
        <f t="shared" si="5"/>
        <v/>
      </c>
      <c r="AH17" t="str">
        <f t="shared" si="6"/>
        <v/>
      </c>
      <c r="AI17" s="488"/>
      <c r="AJ17" s="490">
        <v>40</v>
      </c>
      <c r="AK17" s="490" t="s">
        <v>1207</v>
      </c>
    </row>
    <row r="18" spans="1:37" x14ac:dyDescent="0.25">
      <c r="A18" s="483" t="s">
        <v>98</v>
      </c>
      <c r="B18" s="484"/>
      <c r="C18" s="485"/>
      <c r="D18" s="485"/>
      <c r="E18" s="485"/>
      <c r="F18" s="485"/>
      <c r="G18" s="486"/>
      <c r="H18" s="487">
        <v>2</v>
      </c>
      <c r="I18" s="484"/>
      <c r="J18" s="485"/>
      <c r="K18" s="485"/>
      <c r="L18" s="485"/>
      <c r="M18" s="485"/>
      <c r="N18" s="486"/>
      <c r="O18" s="487"/>
      <c r="P18" s="485"/>
      <c r="Q18" s="485"/>
      <c r="R18" s="485"/>
      <c r="S18" s="485"/>
      <c r="T18" s="485"/>
      <c r="U18" s="486"/>
      <c r="V18" s="486"/>
      <c r="W18" s="484"/>
      <c r="X18" s="485"/>
      <c r="Y18" s="485"/>
      <c r="Z18" s="485"/>
      <c r="AA18" s="485"/>
      <c r="AB18" s="486"/>
      <c r="AC18" s="487"/>
      <c r="AD18" s="486" t="s">
        <v>1206</v>
      </c>
      <c r="AE18" s="458" t="str">
        <f t="shared" si="0"/>
        <v/>
      </c>
      <c r="AF18" t="str">
        <f t="shared" si="4"/>
        <v/>
      </c>
      <c r="AG18" t="str">
        <f t="shared" si="5"/>
        <v/>
      </c>
      <c r="AH18" t="str">
        <f t="shared" si="6"/>
        <v/>
      </c>
      <c r="AI18" s="488"/>
      <c r="AJ18" s="490">
        <v>233</v>
      </c>
      <c r="AK18" s="490" t="s">
        <v>1207</v>
      </c>
    </row>
    <row r="19" spans="1:37" x14ac:dyDescent="0.25">
      <c r="A19" s="483" t="s">
        <v>598</v>
      </c>
      <c r="B19" s="484"/>
      <c r="C19" s="485"/>
      <c r="D19" s="485"/>
      <c r="E19" s="485"/>
      <c r="F19" s="485"/>
      <c r="G19" s="486"/>
      <c r="H19" s="487"/>
      <c r="I19" s="484" t="s">
        <v>66</v>
      </c>
      <c r="J19" s="485" t="s">
        <v>66</v>
      </c>
      <c r="K19" s="485" t="s">
        <v>66</v>
      </c>
      <c r="L19" s="485"/>
      <c r="M19" s="485"/>
      <c r="N19" s="486" t="s">
        <v>1210</v>
      </c>
      <c r="O19" s="487">
        <v>2</v>
      </c>
      <c r="P19" s="485"/>
      <c r="Q19" s="485"/>
      <c r="R19" s="485"/>
      <c r="S19" s="485"/>
      <c r="T19" s="485"/>
      <c r="U19" s="486"/>
      <c r="V19" s="486"/>
      <c r="W19" s="484"/>
      <c r="X19" s="485"/>
      <c r="Y19" s="485"/>
      <c r="Z19" s="485"/>
      <c r="AA19" s="485"/>
      <c r="AB19" s="486"/>
      <c r="AC19" s="487"/>
      <c r="AD19" s="486"/>
      <c r="AE19" s="458" t="str">
        <f t="shared" si="0"/>
        <v/>
      </c>
      <c r="AF19">
        <f t="shared" si="4"/>
        <v>25</v>
      </c>
      <c r="AG19" t="str">
        <f t="shared" si="5"/>
        <v/>
      </c>
      <c r="AH19" t="str">
        <f t="shared" si="6"/>
        <v/>
      </c>
      <c r="AI19" s="488"/>
      <c r="AJ19" s="490"/>
      <c r="AK19" s="490"/>
    </row>
    <row r="20" spans="1:37" x14ac:dyDescent="0.25">
      <c r="A20" s="483" t="s">
        <v>601</v>
      </c>
      <c r="B20" s="491"/>
      <c r="C20" s="492"/>
      <c r="D20" s="492"/>
      <c r="E20" s="492"/>
      <c r="F20" s="492"/>
      <c r="G20" s="493"/>
      <c r="H20" s="494"/>
      <c r="I20" s="484"/>
      <c r="J20" s="485"/>
      <c r="K20" s="485"/>
      <c r="L20" s="485"/>
      <c r="M20" s="485"/>
      <c r="N20" s="486" t="s">
        <v>1205</v>
      </c>
      <c r="O20" s="487">
        <v>2</v>
      </c>
      <c r="P20" s="485"/>
      <c r="Q20" s="485"/>
      <c r="R20" s="485"/>
      <c r="S20" s="485"/>
      <c r="T20" s="485"/>
      <c r="U20" s="486" t="s">
        <v>1208</v>
      </c>
      <c r="V20" s="486">
        <v>2</v>
      </c>
      <c r="W20" s="484"/>
      <c r="X20" s="485"/>
      <c r="Y20" s="485"/>
      <c r="Z20" s="485"/>
      <c r="AA20" s="485"/>
      <c r="AB20" s="486"/>
      <c r="AC20" s="487"/>
      <c r="AD20" s="486"/>
      <c r="AE20" s="458" t="str">
        <f t="shared" si="0"/>
        <v/>
      </c>
      <c r="AF20">
        <f t="shared" si="4"/>
        <v>35</v>
      </c>
      <c r="AG20">
        <f t="shared" si="5"/>
        <v>45</v>
      </c>
      <c r="AH20" t="str">
        <f t="shared" si="6"/>
        <v/>
      </c>
      <c r="AI20" s="488"/>
      <c r="AJ20" s="490"/>
      <c r="AK20" s="490"/>
    </row>
    <row r="21" spans="1:37" x14ac:dyDescent="0.25">
      <c r="A21" s="483" t="s">
        <v>604</v>
      </c>
      <c r="B21" s="491"/>
      <c r="C21" s="492"/>
      <c r="D21" s="492"/>
      <c r="E21" s="492"/>
      <c r="F21" s="492"/>
      <c r="G21" s="493"/>
      <c r="H21" s="494"/>
      <c r="I21" s="484"/>
      <c r="J21" s="485"/>
      <c r="K21" s="485"/>
      <c r="L21" s="485"/>
      <c r="M21" s="485"/>
      <c r="N21" s="486" t="s">
        <v>1205</v>
      </c>
      <c r="O21" s="487">
        <v>2</v>
      </c>
      <c r="P21" s="485"/>
      <c r="Q21" s="485"/>
      <c r="R21" s="485"/>
      <c r="S21" s="485"/>
      <c r="T21" s="485"/>
      <c r="U21" s="486"/>
      <c r="V21" s="486"/>
      <c r="W21" s="484"/>
      <c r="X21" s="485"/>
      <c r="Y21" s="485"/>
      <c r="Z21" s="485"/>
      <c r="AA21" s="485"/>
      <c r="AB21" s="486"/>
      <c r="AC21" s="487"/>
      <c r="AD21" s="486"/>
      <c r="AE21" s="458" t="str">
        <f t="shared" si="0"/>
        <v/>
      </c>
      <c r="AF21">
        <f t="shared" si="4"/>
        <v>35</v>
      </c>
      <c r="AG21" t="str">
        <f t="shared" si="5"/>
        <v/>
      </c>
      <c r="AH21" t="str">
        <f t="shared" si="6"/>
        <v/>
      </c>
      <c r="AI21" s="488"/>
      <c r="AJ21" s="490"/>
      <c r="AK21" s="490"/>
    </row>
    <row r="22" spans="1:37" x14ac:dyDescent="0.25">
      <c r="A22" s="483" t="s">
        <v>606</v>
      </c>
      <c r="B22" s="491"/>
      <c r="C22" s="492"/>
      <c r="D22" s="492"/>
      <c r="E22" s="492"/>
      <c r="F22" s="492"/>
      <c r="G22" s="493"/>
      <c r="H22" s="494"/>
      <c r="I22" s="484"/>
      <c r="J22" s="485"/>
      <c r="K22" s="485"/>
      <c r="L22" s="485"/>
      <c r="M22" s="485"/>
      <c r="N22" s="486" t="s">
        <v>1205</v>
      </c>
      <c r="O22" s="487">
        <v>2</v>
      </c>
      <c r="P22" s="485"/>
      <c r="Q22" s="485"/>
      <c r="R22" s="485"/>
      <c r="S22" s="485"/>
      <c r="T22" s="485"/>
      <c r="U22" s="486"/>
      <c r="V22" s="486"/>
      <c r="W22" s="484"/>
      <c r="X22" s="485"/>
      <c r="Y22" s="485"/>
      <c r="Z22" s="485"/>
      <c r="AA22" s="485"/>
      <c r="AB22" s="486"/>
      <c r="AC22" s="487"/>
      <c r="AD22" s="486"/>
      <c r="AE22" s="458" t="str">
        <f t="shared" si="0"/>
        <v/>
      </c>
      <c r="AF22">
        <f t="shared" si="4"/>
        <v>35</v>
      </c>
      <c r="AG22" t="str">
        <f t="shared" si="5"/>
        <v/>
      </c>
      <c r="AH22" t="str">
        <f t="shared" si="6"/>
        <v/>
      </c>
      <c r="AI22" s="488"/>
      <c r="AJ22" s="490"/>
      <c r="AK22" s="490"/>
    </row>
    <row r="23" spans="1:37" x14ac:dyDescent="0.25">
      <c r="A23" s="483" t="s">
        <v>608</v>
      </c>
      <c r="B23" s="491"/>
      <c r="C23" s="492"/>
      <c r="D23" s="492"/>
      <c r="E23" s="492"/>
      <c r="F23" s="492"/>
      <c r="G23" s="493"/>
      <c r="H23" s="494"/>
      <c r="I23" s="484"/>
      <c r="J23" s="485"/>
      <c r="K23" s="485"/>
      <c r="L23" s="485"/>
      <c r="M23" s="485"/>
      <c r="N23" s="486" t="s">
        <v>1205</v>
      </c>
      <c r="O23" s="487">
        <v>2</v>
      </c>
      <c r="P23" s="485"/>
      <c r="Q23" s="485"/>
      <c r="R23" s="485"/>
      <c r="S23" s="485"/>
      <c r="T23" s="485"/>
      <c r="U23" s="486"/>
      <c r="V23" s="486"/>
      <c r="W23" s="484"/>
      <c r="X23" s="485"/>
      <c r="Y23" s="485"/>
      <c r="Z23" s="485"/>
      <c r="AA23" s="485"/>
      <c r="AB23" s="486"/>
      <c r="AC23" s="487"/>
      <c r="AD23" s="486"/>
      <c r="AE23" s="458" t="str">
        <f t="shared" si="0"/>
        <v/>
      </c>
      <c r="AF23">
        <f t="shared" si="4"/>
        <v>35</v>
      </c>
      <c r="AG23" t="str">
        <f t="shared" si="5"/>
        <v/>
      </c>
      <c r="AH23" t="str">
        <f t="shared" si="6"/>
        <v/>
      </c>
      <c r="AI23" s="488"/>
      <c r="AJ23" s="490"/>
      <c r="AK23" s="490"/>
    </row>
    <row r="24" spans="1:37" x14ac:dyDescent="0.25">
      <c r="A24" s="483" t="s">
        <v>610</v>
      </c>
      <c r="B24" s="491"/>
      <c r="C24" s="492"/>
      <c r="D24" s="492"/>
      <c r="E24" s="492"/>
      <c r="F24" s="492"/>
      <c r="G24" s="493"/>
      <c r="H24" s="494"/>
      <c r="I24" s="484"/>
      <c r="J24" s="485"/>
      <c r="K24" s="485"/>
      <c r="L24" s="485"/>
      <c r="M24" s="485"/>
      <c r="N24" s="486" t="s">
        <v>1205</v>
      </c>
      <c r="O24" s="487">
        <v>2</v>
      </c>
      <c r="P24" s="485"/>
      <c r="Q24" s="485"/>
      <c r="R24" s="485"/>
      <c r="S24" s="485"/>
      <c r="T24" s="485"/>
      <c r="U24" s="486"/>
      <c r="V24" s="486"/>
      <c r="W24" s="484"/>
      <c r="X24" s="485"/>
      <c r="Y24" s="485"/>
      <c r="Z24" s="485"/>
      <c r="AA24" s="485"/>
      <c r="AB24" s="486"/>
      <c r="AC24" s="487"/>
      <c r="AD24" s="486"/>
      <c r="AE24" s="458" t="str">
        <f t="shared" si="0"/>
        <v/>
      </c>
      <c r="AF24">
        <f t="shared" si="4"/>
        <v>35</v>
      </c>
      <c r="AG24" t="str">
        <f t="shared" si="5"/>
        <v/>
      </c>
      <c r="AH24" t="str">
        <f t="shared" si="6"/>
        <v/>
      </c>
      <c r="AI24" s="488"/>
      <c r="AJ24" s="490"/>
      <c r="AK24" s="490"/>
    </row>
    <row r="25" spans="1:37" x14ac:dyDescent="0.25">
      <c r="A25" s="483" t="s">
        <v>612</v>
      </c>
      <c r="B25" s="491"/>
      <c r="C25" s="492"/>
      <c r="D25" s="492"/>
      <c r="E25" s="492"/>
      <c r="F25" s="492"/>
      <c r="G25" s="493"/>
      <c r="H25" s="494"/>
      <c r="I25" s="484"/>
      <c r="J25" s="485"/>
      <c r="K25" s="485"/>
      <c r="L25" s="485"/>
      <c r="M25" s="485"/>
      <c r="N25" s="486" t="s">
        <v>1205</v>
      </c>
      <c r="O25" s="487">
        <v>2</v>
      </c>
      <c r="P25" s="485"/>
      <c r="Q25" s="485"/>
      <c r="R25" s="485"/>
      <c r="S25" s="485"/>
      <c r="T25" s="485"/>
      <c r="U25" s="486"/>
      <c r="V25" s="486"/>
      <c r="W25" s="484"/>
      <c r="X25" s="485"/>
      <c r="Y25" s="485"/>
      <c r="Z25" s="485"/>
      <c r="AA25" s="485"/>
      <c r="AB25" s="486"/>
      <c r="AC25" s="487"/>
      <c r="AD25" s="486"/>
      <c r="AE25" s="458" t="str">
        <f t="shared" si="0"/>
        <v/>
      </c>
      <c r="AF25">
        <f t="shared" si="4"/>
        <v>35</v>
      </c>
      <c r="AG25" t="str">
        <f t="shared" si="5"/>
        <v/>
      </c>
      <c r="AH25" t="str">
        <f t="shared" si="6"/>
        <v/>
      </c>
      <c r="AI25" s="488"/>
      <c r="AJ25" s="490"/>
      <c r="AK25" s="490"/>
    </row>
    <row r="26" spans="1:37" x14ac:dyDescent="0.25">
      <c r="A26" s="483" t="s">
        <v>614</v>
      </c>
      <c r="B26" s="491"/>
      <c r="C26" s="492"/>
      <c r="D26" s="492"/>
      <c r="E26" s="492"/>
      <c r="F26" s="492"/>
      <c r="G26" s="493"/>
      <c r="H26" s="494"/>
      <c r="I26" s="484"/>
      <c r="J26" s="485"/>
      <c r="K26" s="485"/>
      <c r="L26" s="485"/>
      <c r="M26" s="485"/>
      <c r="N26" s="486" t="s">
        <v>1205</v>
      </c>
      <c r="O26" s="487">
        <v>2</v>
      </c>
      <c r="P26" s="485"/>
      <c r="Q26" s="485"/>
      <c r="R26" s="485"/>
      <c r="S26" s="485"/>
      <c r="T26" s="485"/>
      <c r="U26" s="486"/>
      <c r="V26" s="486"/>
      <c r="W26" s="484"/>
      <c r="X26" s="485"/>
      <c r="Y26" s="485"/>
      <c r="Z26" s="485"/>
      <c r="AA26" s="485"/>
      <c r="AB26" s="486"/>
      <c r="AC26" s="487"/>
      <c r="AD26" s="486"/>
      <c r="AE26" s="458" t="str">
        <f t="shared" si="0"/>
        <v/>
      </c>
      <c r="AF26">
        <f t="shared" si="4"/>
        <v>35</v>
      </c>
      <c r="AG26" t="str">
        <f t="shared" si="5"/>
        <v/>
      </c>
      <c r="AH26" t="str">
        <f t="shared" si="6"/>
        <v/>
      </c>
      <c r="AI26" s="488"/>
      <c r="AJ26" s="490"/>
      <c r="AK26" s="490"/>
    </row>
    <row r="27" spans="1:37" x14ac:dyDescent="0.25">
      <c r="A27" s="483" t="s">
        <v>616</v>
      </c>
      <c r="B27" s="491"/>
      <c r="C27" s="492"/>
      <c r="D27" s="492"/>
      <c r="E27" s="492"/>
      <c r="F27" s="492"/>
      <c r="G27" s="493"/>
      <c r="H27" s="494"/>
      <c r="I27" s="484"/>
      <c r="J27" s="485"/>
      <c r="K27" s="485"/>
      <c r="L27" s="485"/>
      <c r="M27" s="485"/>
      <c r="N27" s="486" t="s">
        <v>1205</v>
      </c>
      <c r="O27" s="487">
        <v>2</v>
      </c>
      <c r="P27" s="485"/>
      <c r="Q27" s="485"/>
      <c r="R27" s="485"/>
      <c r="S27" s="485"/>
      <c r="T27" s="485"/>
      <c r="U27" s="486"/>
      <c r="V27" s="486"/>
      <c r="W27" s="484"/>
      <c r="X27" s="485"/>
      <c r="Y27" s="485"/>
      <c r="Z27" s="485"/>
      <c r="AA27" s="485"/>
      <c r="AB27" s="486"/>
      <c r="AC27" s="487"/>
      <c r="AD27" s="486"/>
      <c r="AE27" s="458" t="str">
        <f t="shared" si="0"/>
        <v/>
      </c>
      <c r="AF27">
        <f t="shared" si="4"/>
        <v>35</v>
      </c>
      <c r="AG27" t="str">
        <f t="shared" si="5"/>
        <v/>
      </c>
      <c r="AH27" t="str">
        <f t="shared" si="6"/>
        <v/>
      </c>
      <c r="AI27" s="488"/>
      <c r="AJ27" s="490"/>
      <c r="AK27" s="490"/>
    </row>
    <row r="28" spans="1:37" x14ac:dyDescent="0.25">
      <c r="A28" s="483" t="s">
        <v>618</v>
      </c>
      <c r="B28" s="491"/>
      <c r="C28" s="492"/>
      <c r="D28" s="492"/>
      <c r="E28" s="492"/>
      <c r="F28" s="492"/>
      <c r="G28" s="493"/>
      <c r="H28" s="494"/>
      <c r="I28" s="484"/>
      <c r="J28" s="485"/>
      <c r="K28" s="485"/>
      <c r="L28" s="485"/>
      <c r="M28" s="485"/>
      <c r="N28" s="486"/>
      <c r="O28" s="487">
        <v>1</v>
      </c>
      <c r="P28" s="485"/>
      <c r="Q28" s="485"/>
      <c r="R28" s="485"/>
      <c r="S28" s="485"/>
      <c r="T28" s="485"/>
      <c r="U28" s="486"/>
      <c r="V28" s="486"/>
      <c r="W28" s="484"/>
      <c r="X28" s="485"/>
      <c r="Y28" s="485"/>
      <c r="Z28" s="485"/>
      <c r="AA28" s="485"/>
      <c r="AB28" s="486"/>
      <c r="AC28" s="487"/>
      <c r="AD28" s="486"/>
      <c r="AE28" s="458" t="str">
        <f t="shared" si="0"/>
        <v/>
      </c>
      <c r="AF28" t="str">
        <f t="shared" si="4"/>
        <v/>
      </c>
      <c r="AG28" t="str">
        <f t="shared" si="5"/>
        <v/>
      </c>
      <c r="AH28" t="str">
        <f t="shared" si="6"/>
        <v/>
      </c>
      <c r="AI28" s="488"/>
      <c r="AJ28" s="490"/>
      <c r="AK28" s="490"/>
    </row>
    <row r="29" spans="1:37" x14ac:dyDescent="0.25">
      <c r="A29" s="483" t="s">
        <v>621</v>
      </c>
      <c r="B29" s="491"/>
      <c r="C29" s="492"/>
      <c r="D29" s="492"/>
      <c r="E29" s="492"/>
      <c r="F29" s="492"/>
      <c r="G29" s="493"/>
      <c r="H29" s="494"/>
      <c r="I29" s="484"/>
      <c r="J29" s="485"/>
      <c r="K29" s="485"/>
      <c r="L29" s="485"/>
      <c r="M29" s="485"/>
      <c r="N29" s="486"/>
      <c r="O29" s="487">
        <v>1</v>
      </c>
      <c r="P29" s="485"/>
      <c r="Q29" s="485"/>
      <c r="R29" s="485"/>
      <c r="S29" s="485"/>
      <c r="T29" s="485"/>
      <c r="U29" s="486"/>
      <c r="V29" s="486"/>
      <c r="W29" s="484"/>
      <c r="X29" s="485"/>
      <c r="Y29" s="485"/>
      <c r="Z29" s="485"/>
      <c r="AA29" s="485"/>
      <c r="AB29" s="486"/>
      <c r="AC29" s="487"/>
      <c r="AD29" s="486"/>
      <c r="AE29" s="458" t="str">
        <f t="shared" si="0"/>
        <v/>
      </c>
      <c r="AF29" t="str">
        <f t="shared" si="4"/>
        <v/>
      </c>
      <c r="AG29" t="str">
        <f t="shared" si="5"/>
        <v/>
      </c>
      <c r="AH29" t="str">
        <f t="shared" si="6"/>
        <v/>
      </c>
      <c r="AI29" s="488"/>
      <c r="AJ29" s="490"/>
      <c r="AK29" s="490"/>
    </row>
    <row r="30" spans="1:37" x14ac:dyDescent="0.25">
      <c r="A30" s="483" t="s">
        <v>624</v>
      </c>
      <c r="B30" s="491"/>
      <c r="C30" s="492"/>
      <c r="D30" s="492"/>
      <c r="E30" s="492"/>
      <c r="F30" s="492"/>
      <c r="G30" s="493"/>
      <c r="H30" s="494"/>
      <c r="I30" s="484"/>
      <c r="J30" s="485"/>
      <c r="K30" s="485"/>
      <c r="L30" s="485"/>
      <c r="M30" s="485"/>
      <c r="N30" s="486"/>
      <c r="O30" s="487">
        <v>1</v>
      </c>
      <c r="P30" s="485"/>
      <c r="Q30" s="485"/>
      <c r="R30" s="485"/>
      <c r="S30" s="485"/>
      <c r="T30" s="485"/>
      <c r="U30" s="486"/>
      <c r="V30" s="486"/>
      <c r="W30" s="484"/>
      <c r="X30" s="485"/>
      <c r="Y30" s="485"/>
      <c r="Z30" s="485"/>
      <c r="AA30" s="485"/>
      <c r="AB30" s="486"/>
      <c r="AC30" s="487"/>
      <c r="AD30" s="486"/>
      <c r="AE30" s="458" t="str">
        <f t="shared" si="0"/>
        <v/>
      </c>
      <c r="AF30" t="str">
        <f t="shared" si="4"/>
        <v/>
      </c>
      <c r="AG30" t="str">
        <f t="shared" si="5"/>
        <v/>
      </c>
      <c r="AH30" t="str">
        <f t="shared" si="6"/>
        <v/>
      </c>
      <c r="AI30" s="488"/>
      <c r="AJ30" s="490"/>
      <c r="AK30" s="490"/>
    </row>
    <row r="31" spans="1:37" x14ac:dyDescent="0.25">
      <c r="A31" s="483" t="s">
        <v>101</v>
      </c>
      <c r="B31" s="484"/>
      <c r="C31" s="485"/>
      <c r="D31" s="485"/>
      <c r="E31" s="485"/>
      <c r="F31" s="485"/>
      <c r="G31" s="486" t="s">
        <v>1212</v>
      </c>
      <c r="H31" s="487">
        <v>2</v>
      </c>
      <c r="I31" s="484" t="s">
        <v>66</v>
      </c>
      <c r="J31" s="485" t="s">
        <v>66</v>
      </c>
      <c r="K31" s="485" t="s">
        <v>66</v>
      </c>
      <c r="L31" s="485"/>
      <c r="M31" s="485"/>
      <c r="N31" s="486" t="s">
        <v>1210</v>
      </c>
      <c r="O31" s="487">
        <v>2</v>
      </c>
      <c r="P31" s="485"/>
      <c r="Q31" s="485"/>
      <c r="R31" s="485"/>
      <c r="S31" s="485"/>
      <c r="T31" s="485"/>
      <c r="U31" s="486"/>
      <c r="V31" s="486"/>
      <c r="W31" s="484"/>
      <c r="X31" s="485"/>
      <c r="Y31" s="485"/>
      <c r="Z31" s="485"/>
      <c r="AA31" s="485"/>
      <c r="AB31" s="486"/>
      <c r="AC31" s="487"/>
      <c r="AD31" s="486"/>
      <c r="AE31" s="458">
        <f t="shared" si="0"/>
        <v>25</v>
      </c>
      <c r="AF31">
        <f t="shared" si="4"/>
        <v>25</v>
      </c>
      <c r="AG31" t="str">
        <f t="shared" si="5"/>
        <v/>
      </c>
      <c r="AH31" t="str">
        <f t="shared" si="6"/>
        <v/>
      </c>
      <c r="AI31" s="488"/>
      <c r="AJ31" s="490"/>
      <c r="AK31" s="490"/>
    </row>
    <row r="32" spans="1:37" x14ac:dyDescent="0.25">
      <c r="A32" s="483" t="s">
        <v>104</v>
      </c>
      <c r="B32" s="484" t="s">
        <v>66</v>
      </c>
      <c r="C32" s="485" t="s">
        <v>66</v>
      </c>
      <c r="D32" s="485" t="s">
        <v>66</v>
      </c>
      <c r="E32" s="485"/>
      <c r="F32" s="485"/>
      <c r="G32" s="486" t="s">
        <v>1209</v>
      </c>
      <c r="H32" s="487">
        <v>1</v>
      </c>
      <c r="I32" s="484"/>
      <c r="J32" s="485"/>
      <c r="K32" s="485"/>
      <c r="L32" s="485"/>
      <c r="M32" s="485"/>
      <c r="N32" s="486" t="s">
        <v>1209</v>
      </c>
      <c r="O32" s="487">
        <v>1</v>
      </c>
      <c r="P32" s="485"/>
      <c r="Q32" s="485"/>
      <c r="R32" s="485"/>
      <c r="S32" s="485"/>
      <c r="T32" s="485"/>
      <c r="U32" s="486" t="s">
        <v>1209</v>
      </c>
      <c r="V32" s="486">
        <v>1</v>
      </c>
      <c r="W32" s="484"/>
      <c r="X32" s="485"/>
      <c r="Y32" s="485"/>
      <c r="Z32" s="485"/>
      <c r="AA32" s="485"/>
      <c r="AB32" s="486"/>
      <c r="AC32" s="487"/>
      <c r="AD32" s="486" t="s">
        <v>1206</v>
      </c>
      <c r="AE32" s="458">
        <f t="shared" si="0"/>
        <v>55</v>
      </c>
      <c r="AF32">
        <f t="shared" si="4"/>
        <v>55</v>
      </c>
      <c r="AG32">
        <f t="shared" si="5"/>
        <v>60</v>
      </c>
      <c r="AH32" t="str">
        <f t="shared" si="6"/>
        <v/>
      </c>
      <c r="AI32" s="488">
        <v>500</v>
      </c>
      <c r="AJ32" s="490">
        <v>42</v>
      </c>
      <c r="AK32" s="490" t="s">
        <v>1207</v>
      </c>
    </row>
    <row r="33" spans="1:37" x14ac:dyDescent="0.25">
      <c r="A33" s="483" t="s">
        <v>107</v>
      </c>
      <c r="B33" s="484"/>
      <c r="C33" s="485"/>
      <c r="D33" s="485"/>
      <c r="E33" s="485"/>
      <c r="F33" s="485"/>
      <c r="G33" s="486" t="s">
        <v>1208</v>
      </c>
      <c r="H33" s="487">
        <v>1</v>
      </c>
      <c r="I33" s="484"/>
      <c r="J33" s="485"/>
      <c r="K33" s="485"/>
      <c r="L33" s="485"/>
      <c r="M33" s="485"/>
      <c r="N33" s="486"/>
      <c r="O33" s="487"/>
      <c r="P33" s="485"/>
      <c r="Q33" s="485"/>
      <c r="R33" s="485"/>
      <c r="S33" s="485"/>
      <c r="T33" s="485"/>
      <c r="U33" s="486"/>
      <c r="V33" s="486"/>
      <c r="W33" s="484"/>
      <c r="X33" s="485"/>
      <c r="Y33" s="485"/>
      <c r="Z33" s="485"/>
      <c r="AA33" s="485"/>
      <c r="AB33" s="486"/>
      <c r="AC33" s="487"/>
      <c r="AD33" s="486" t="s">
        <v>1206</v>
      </c>
      <c r="AE33" s="458">
        <f t="shared" si="0"/>
        <v>35</v>
      </c>
      <c r="AF33" t="str">
        <f t="shared" si="4"/>
        <v/>
      </c>
      <c r="AG33" t="str">
        <f t="shared" si="5"/>
        <v/>
      </c>
      <c r="AH33" t="str">
        <f t="shared" si="6"/>
        <v/>
      </c>
      <c r="AI33" s="488"/>
      <c r="AJ33" s="490">
        <v>43</v>
      </c>
      <c r="AK33" s="490" t="s">
        <v>1207</v>
      </c>
    </row>
    <row r="34" spans="1:37" x14ac:dyDescent="0.25">
      <c r="A34" s="483" t="s">
        <v>110</v>
      </c>
      <c r="B34" s="484" t="s">
        <v>66</v>
      </c>
      <c r="C34" s="485"/>
      <c r="D34" s="485" t="s">
        <v>66</v>
      </c>
      <c r="E34" s="485"/>
      <c r="F34" s="485"/>
      <c r="G34" s="486" t="s">
        <v>1205</v>
      </c>
      <c r="H34" s="487">
        <v>1</v>
      </c>
      <c r="I34" s="484"/>
      <c r="J34" s="485"/>
      <c r="K34" s="485"/>
      <c r="L34" s="485"/>
      <c r="M34" s="485"/>
      <c r="N34" s="486" t="s">
        <v>1205</v>
      </c>
      <c r="O34" s="487">
        <v>2</v>
      </c>
      <c r="P34" s="485"/>
      <c r="Q34" s="485"/>
      <c r="R34" s="485"/>
      <c r="S34" s="485"/>
      <c r="T34" s="485"/>
      <c r="U34" s="486" t="s">
        <v>1212</v>
      </c>
      <c r="V34" s="486">
        <v>1</v>
      </c>
      <c r="W34" s="484"/>
      <c r="X34" s="485"/>
      <c r="Y34" s="485"/>
      <c r="Z34" s="485"/>
      <c r="AA34" s="485"/>
      <c r="AB34" s="486" t="s">
        <v>1208</v>
      </c>
      <c r="AC34" s="487">
        <v>1</v>
      </c>
      <c r="AD34" s="486" t="s">
        <v>1206</v>
      </c>
      <c r="AE34" s="458">
        <f t="shared" si="0"/>
        <v>35</v>
      </c>
      <c r="AF34">
        <f t="shared" si="4"/>
        <v>35</v>
      </c>
      <c r="AG34">
        <f t="shared" si="5"/>
        <v>30</v>
      </c>
      <c r="AH34">
        <f t="shared" si="6"/>
        <v>45</v>
      </c>
      <c r="AI34" s="488">
        <v>1000</v>
      </c>
      <c r="AJ34" s="490">
        <v>44</v>
      </c>
      <c r="AK34" s="490" t="s">
        <v>1207</v>
      </c>
    </row>
    <row r="35" spans="1:37" x14ac:dyDescent="0.25">
      <c r="A35" s="483" t="s">
        <v>113</v>
      </c>
      <c r="B35" s="484"/>
      <c r="C35" s="485"/>
      <c r="D35" s="485"/>
      <c r="E35" s="485"/>
      <c r="F35" s="485"/>
      <c r="G35" s="486"/>
      <c r="H35" s="487">
        <v>1</v>
      </c>
      <c r="I35" s="484"/>
      <c r="J35" s="485"/>
      <c r="K35" s="485"/>
      <c r="L35" s="485"/>
      <c r="M35" s="485"/>
      <c r="N35" s="486"/>
      <c r="O35" s="487"/>
      <c r="P35" s="485"/>
      <c r="Q35" s="485"/>
      <c r="R35" s="485"/>
      <c r="S35" s="485"/>
      <c r="T35" s="485"/>
      <c r="U35" s="486"/>
      <c r="V35" s="486"/>
      <c r="W35" s="484"/>
      <c r="X35" s="485"/>
      <c r="Y35" s="485"/>
      <c r="Z35" s="485"/>
      <c r="AA35" s="485"/>
      <c r="AB35" s="486"/>
      <c r="AC35" s="487"/>
      <c r="AD35" s="486" t="s">
        <v>1206</v>
      </c>
      <c r="AE35" s="458" t="str">
        <f t="shared" si="0"/>
        <v/>
      </c>
      <c r="AF35" t="str">
        <f t="shared" si="4"/>
        <v/>
      </c>
      <c r="AG35" t="str">
        <f t="shared" si="5"/>
        <v/>
      </c>
      <c r="AH35" t="str">
        <f t="shared" si="6"/>
        <v/>
      </c>
      <c r="AI35" s="488"/>
      <c r="AJ35" s="490">
        <v>45</v>
      </c>
      <c r="AK35" s="490" t="s">
        <v>1207</v>
      </c>
    </row>
    <row r="36" spans="1:37" x14ac:dyDescent="0.25">
      <c r="A36" s="483" t="s">
        <v>116</v>
      </c>
      <c r="B36" s="484"/>
      <c r="C36" s="485"/>
      <c r="D36" s="485"/>
      <c r="E36" s="485"/>
      <c r="F36" s="485"/>
      <c r="G36" s="486"/>
      <c r="H36" s="487">
        <v>1</v>
      </c>
      <c r="I36" s="484"/>
      <c r="J36" s="485"/>
      <c r="K36" s="485"/>
      <c r="L36" s="485"/>
      <c r="M36" s="485"/>
      <c r="N36" s="486"/>
      <c r="O36" s="487"/>
      <c r="P36" s="485"/>
      <c r="Q36" s="485"/>
      <c r="R36" s="485"/>
      <c r="S36" s="485"/>
      <c r="T36" s="485"/>
      <c r="U36" s="486"/>
      <c r="V36" s="486"/>
      <c r="W36" s="484"/>
      <c r="X36" s="485"/>
      <c r="Y36" s="485"/>
      <c r="Z36" s="485"/>
      <c r="AA36" s="485"/>
      <c r="AB36" s="486"/>
      <c r="AC36" s="487"/>
      <c r="AD36" s="486" t="s">
        <v>1206</v>
      </c>
      <c r="AE36" s="458" t="str">
        <f t="shared" si="0"/>
        <v/>
      </c>
      <c r="AF36" t="str">
        <f t="shared" si="4"/>
        <v/>
      </c>
      <c r="AG36" t="str">
        <f t="shared" si="5"/>
        <v/>
      </c>
      <c r="AH36" t="str">
        <f t="shared" si="6"/>
        <v/>
      </c>
      <c r="AI36" s="488"/>
      <c r="AJ36" s="490">
        <v>46</v>
      </c>
      <c r="AK36" s="490" t="s">
        <v>1207</v>
      </c>
    </row>
    <row r="37" spans="1:37" x14ac:dyDescent="0.25">
      <c r="A37" s="483" t="s">
        <v>119</v>
      </c>
      <c r="B37" s="484"/>
      <c r="C37" s="485"/>
      <c r="D37" s="485"/>
      <c r="E37" s="485"/>
      <c r="F37" s="485"/>
      <c r="G37" s="486" t="s">
        <v>1205</v>
      </c>
      <c r="H37" s="487">
        <v>1</v>
      </c>
      <c r="I37" s="484"/>
      <c r="J37" s="485"/>
      <c r="K37" s="485"/>
      <c r="L37" s="485"/>
      <c r="M37" s="485"/>
      <c r="N37" s="486" t="s">
        <v>1208</v>
      </c>
      <c r="O37" s="487">
        <v>2</v>
      </c>
      <c r="P37" s="485"/>
      <c r="Q37" s="485"/>
      <c r="R37" s="485"/>
      <c r="S37" s="485"/>
      <c r="T37" s="485"/>
      <c r="U37" s="486"/>
      <c r="V37" s="486"/>
      <c r="W37" s="484"/>
      <c r="X37" s="485"/>
      <c r="Y37" s="485"/>
      <c r="Z37" s="485"/>
      <c r="AA37" s="485"/>
      <c r="AB37" s="486"/>
      <c r="AC37" s="487"/>
      <c r="AD37" s="486" t="s">
        <v>1206</v>
      </c>
      <c r="AE37" s="458">
        <f t="shared" si="0"/>
        <v>35</v>
      </c>
      <c r="AF37">
        <f t="shared" si="4"/>
        <v>35</v>
      </c>
      <c r="AG37" t="str">
        <f t="shared" si="5"/>
        <v/>
      </c>
      <c r="AH37" t="str">
        <f t="shared" si="6"/>
        <v/>
      </c>
      <c r="AI37" s="488"/>
      <c r="AJ37" s="490">
        <v>47</v>
      </c>
      <c r="AK37" s="490" t="s">
        <v>1207</v>
      </c>
    </row>
    <row r="38" spans="1:37" x14ac:dyDescent="0.25">
      <c r="A38" s="483" t="s">
        <v>1411</v>
      </c>
      <c r="B38" s="484"/>
      <c r="C38" s="485"/>
      <c r="D38" s="485" t="s">
        <v>66</v>
      </c>
      <c r="E38" s="485" t="s">
        <v>66</v>
      </c>
      <c r="F38" s="485"/>
      <c r="G38" s="486" t="s">
        <v>1209</v>
      </c>
      <c r="H38" s="487">
        <v>1</v>
      </c>
      <c r="I38" s="484" t="s">
        <v>66</v>
      </c>
      <c r="J38" s="485"/>
      <c r="K38" s="485" t="s">
        <v>66</v>
      </c>
      <c r="L38" s="485" t="s">
        <v>56</v>
      </c>
      <c r="M38" s="485" t="s">
        <v>66</v>
      </c>
      <c r="N38" s="486" t="s">
        <v>1205</v>
      </c>
      <c r="O38" s="487">
        <v>1</v>
      </c>
      <c r="P38" s="485"/>
      <c r="Q38" s="485"/>
      <c r="R38" s="485"/>
      <c r="S38" s="485"/>
      <c r="T38" s="485"/>
      <c r="U38" s="486" t="s">
        <v>1209</v>
      </c>
      <c r="V38" s="486">
        <v>1</v>
      </c>
      <c r="W38" s="484"/>
      <c r="X38" s="485"/>
      <c r="Y38" s="485"/>
      <c r="Z38" s="485"/>
      <c r="AA38" s="485"/>
      <c r="AB38" s="486"/>
      <c r="AC38" s="487"/>
      <c r="AD38" s="486" t="s">
        <v>1206</v>
      </c>
      <c r="AE38" s="458">
        <f t="shared" si="0"/>
        <v>55</v>
      </c>
      <c r="AF38">
        <f t="shared" si="4"/>
        <v>35</v>
      </c>
      <c r="AG38">
        <f t="shared" si="5"/>
        <v>60</v>
      </c>
      <c r="AH38" t="str">
        <f t="shared" si="6"/>
        <v/>
      </c>
      <c r="AI38" s="488"/>
      <c r="AJ38" s="490"/>
      <c r="AK38" s="490"/>
    </row>
    <row r="39" spans="1:37" x14ac:dyDescent="0.25">
      <c r="A39" s="982" t="s">
        <v>1444</v>
      </c>
      <c r="B39" s="484"/>
      <c r="C39" s="485"/>
      <c r="D39" s="485" t="s">
        <v>56</v>
      </c>
      <c r="E39" s="485" t="s">
        <v>56</v>
      </c>
      <c r="F39" s="485"/>
      <c r="G39" s="486" t="s">
        <v>1209</v>
      </c>
      <c r="H39" s="487"/>
      <c r="I39" s="484"/>
      <c r="J39" s="485"/>
      <c r="K39" s="485"/>
      <c r="L39" s="485"/>
      <c r="M39" s="485"/>
      <c r="N39" s="486"/>
      <c r="O39" s="487"/>
      <c r="P39" s="485"/>
      <c r="Q39" s="485"/>
      <c r="R39" s="485"/>
      <c r="S39" s="485"/>
      <c r="T39" s="485"/>
      <c r="U39" s="486"/>
      <c r="V39" s="486"/>
      <c r="W39" s="484"/>
      <c r="X39" s="485"/>
      <c r="Y39" s="485"/>
      <c r="Z39" s="485"/>
      <c r="AA39" s="485"/>
      <c r="AB39" s="486"/>
      <c r="AC39" s="487"/>
      <c r="AD39" s="486"/>
      <c r="AE39" s="458">
        <f t="shared" si="0"/>
        <v>55</v>
      </c>
      <c r="AI39" s="488"/>
      <c r="AJ39" s="490"/>
      <c r="AK39" s="490"/>
    </row>
    <row r="40" spans="1:37" ht="15.75" thickBot="1" x14ac:dyDescent="0.3">
      <c r="A40" s="980" t="s">
        <v>1446</v>
      </c>
      <c r="B40" s="484" t="s">
        <v>66</v>
      </c>
      <c r="C40" s="485"/>
      <c r="D40" s="485" t="s">
        <v>56</v>
      </c>
      <c r="E40" s="485" t="s">
        <v>56</v>
      </c>
      <c r="F40" s="485" t="s">
        <v>56</v>
      </c>
      <c r="G40" s="486" t="s">
        <v>1209</v>
      </c>
      <c r="H40" s="487"/>
      <c r="I40" s="484"/>
      <c r="J40" s="485"/>
      <c r="K40" s="485"/>
      <c r="L40" s="485"/>
      <c r="M40" s="485"/>
      <c r="N40" s="486"/>
      <c r="O40" s="487"/>
      <c r="P40" s="485"/>
      <c r="Q40" s="485"/>
      <c r="R40" s="485"/>
      <c r="S40" s="485"/>
      <c r="T40" s="485"/>
      <c r="U40" s="486"/>
      <c r="V40" s="486"/>
      <c r="W40" s="484"/>
      <c r="X40" s="485"/>
      <c r="Y40" s="485"/>
      <c r="Z40" s="485"/>
      <c r="AA40" s="485"/>
      <c r="AB40" s="486"/>
      <c r="AC40" s="487"/>
      <c r="AD40" s="486"/>
      <c r="AE40" s="458">
        <f t="shared" si="0"/>
        <v>55</v>
      </c>
      <c r="AI40" s="488"/>
      <c r="AJ40" s="490"/>
      <c r="AK40" s="490"/>
    </row>
    <row r="41" spans="1:37" x14ac:dyDescent="0.25">
      <c r="A41" s="483" t="s">
        <v>629</v>
      </c>
      <c r="B41" s="491"/>
      <c r="C41" s="492"/>
      <c r="D41" s="492"/>
      <c r="E41" s="492"/>
      <c r="F41" s="492"/>
      <c r="G41" s="493"/>
      <c r="H41" s="494"/>
      <c r="I41" s="484"/>
      <c r="J41" s="485"/>
      <c r="K41" s="485"/>
      <c r="L41" s="485"/>
      <c r="M41" s="485"/>
      <c r="N41" s="486"/>
      <c r="O41" s="487">
        <v>1</v>
      </c>
      <c r="P41" s="485"/>
      <c r="Q41" s="485"/>
      <c r="R41" s="485"/>
      <c r="S41" s="485"/>
      <c r="T41" s="485"/>
      <c r="U41" s="486"/>
      <c r="V41" s="486"/>
      <c r="W41" s="484"/>
      <c r="X41" s="485"/>
      <c r="Y41" s="485"/>
      <c r="Z41" s="485"/>
      <c r="AA41" s="485"/>
      <c r="AB41" s="486"/>
      <c r="AC41" s="487"/>
      <c r="AD41" s="486"/>
      <c r="AE41" s="458" t="str">
        <f t="shared" si="0"/>
        <v/>
      </c>
      <c r="AF41" t="str">
        <f t="shared" si="4"/>
        <v/>
      </c>
      <c r="AG41" t="str">
        <f t="shared" si="5"/>
        <v/>
      </c>
      <c r="AH41" t="str">
        <f t="shared" si="6"/>
        <v/>
      </c>
      <c r="AI41" s="488"/>
      <c r="AJ41" s="490"/>
      <c r="AK41" s="490"/>
    </row>
    <row r="42" spans="1:37" x14ac:dyDescent="0.25">
      <c r="A42" s="483" t="s">
        <v>630</v>
      </c>
      <c r="B42" s="491"/>
      <c r="C42" s="492"/>
      <c r="D42" s="492"/>
      <c r="E42" s="492"/>
      <c r="F42" s="492"/>
      <c r="G42" s="493"/>
      <c r="H42" s="494"/>
      <c r="I42" s="484"/>
      <c r="J42" s="485"/>
      <c r="K42" s="485"/>
      <c r="L42" s="485"/>
      <c r="M42" s="485"/>
      <c r="N42" s="486"/>
      <c r="O42" s="487">
        <v>1</v>
      </c>
      <c r="P42" s="485"/>
      <c r="Q42" s="485"/>
      <c r="R42" s="485"/>
      <c r="S42" s="485"/>
      <c r="T42" s="485"/>
      <c r="U42" s="486"/>
      <c r="V42" s="486"/>
      <c r="W42" s="484"/>
      <c r="X42" s="485"/>
      <c r="Y42" s="485"/>
      <c r="Z42" s="485"/>
      <c r="AA42" s="485"/>
      <c r="AB42" s="486"/>
      <c r="AC42" s="487"/>
      <c r="AD42" s="486"/>
      <c r="AE42" s="458" t="str">
        <f t="shared" si="0"/>
        <v/>
      </c>
      <c r="AF42" t="str">
        <f t="shared" si="4"/>
        <v/>
      </c>
      <c r="AG42" t="str">
        <f t="shared" si="5"/>
        <v/>
      </c>
      <c r="AH42" t="str">
        <f t="shared" si="6"/>
        <v/>
      </c>
      <c r="AI42" s="488"/>
      <c r="AJ42" s="490"/>
      <c r="AK42" s="490"/>
    </row>
    <row r="43" spans="1:37" x14ac:dyDescent="0.25">
      <c r="A43" s="483" t="s">
        <v>631</v>
      </c>
      <c r="B43" s="491"/>
      <c r="C43" s="492"/>
      <c r="D43" s="492"/>
      <c r="E43" s="492"/>
      <c r="F43" s="492"/>
      <c r="G43" s="493"/>
      <c r="H43" s="494"/>
      <c r="I43" s="484"/>
      <c r="J43" s="485"/>
      <c r="K43" s="485"/>
      <c r="L43" s="485"/>
      <c r="M43" s="485"/>
      <c r="N43" s="486" t="s">
        <v>1205</v>
      </c>
      <c r="O43" s="487">
        <v>1</v>
      </c>
      <c r="P43" s="485"/>
      <c r="Q43" s="485"/>
      <c r="R43" s="485"/>
      <c r="S43" s="485"/>
      <c r="T43" s="485"/>
      <c r="U43" s="486"/>
      <c r="V43" s="486"/>
      <c r="W43" s="484"/>
      <c r="X43" s="485"/>
      <c r="Y43" s="485"/>
      <c r="Z43" s="485"/>
      <c r="AA43" s="485"/>
      <c r="AB43" s="486"/>
      <c r="AC43" s="487"/>
      <c r="AD43" s="486"/>
      <c r="AE43" s="458" t="str">
        <f t="shared" si="0"/>
        <v/>
      </c>
      <c r="AF43">
        <f t="shared" si="4"/>
        <v>35</v>
      </c>
      <c r="AG43" t="str">
        <f t="shared" si="5"/>
        <v/>
      </c>
      <c r="AH43" t="str">
        <f t="shared" si="6"/>
        <v/>
      </c>
      <c r="AI43" s="488"/>
      <c r="AJ43" s="490"/>
      <c r="AK43" s="490"/>
    </row>
    <row r="44" spans="1:37" x14ac:dyDescent="0.25">
      <c r="A44" s="483" t="s">
        <v>1394</v>
      </c>
      <c r="B44" s="739"/>
      <c r="C44" s="740"/>
      <c r="D44" s="740"/>
      <c r="E44" s="740"/>
      <c r="F44" s="740"/>
      <c r="G44" s="741" t="s">
        <v>1209</v>
      </c>
      <c r="H44" s="742">
        <v>1</v>
      </c>
      <c r="I44" s="484" t="s">
        <v>66</v>
      </c>
      <c r="J44" s="485"/>
      <c r="K44" s="485" t="s">
        <v>66</v>
      </c>
      <c r="L44" s="485" t="s">
        <v>66</v>
      </c>
      <c r="M44" s="485" t="s">
        <v>66</v>
      </c>
      <c r="N44" s="486" t="s">
        <v>1209</v>
      </c>
      <c r="O44" s="487">
        <v>1</v>
      </c>
      <c r="P44" s="485"/>
      <c r="Q44" s="485"/>
      <c r="R44" s="485"/>
      <c r="S44" s="485"/>
      <c r="T44" s="485"/>
      <c r="U44" s="486"/>
      <c r="V44" s="486"/>
      <c r="W44" s="484"/>
      <c r="X44" s="485"/>
      <c r="Y44" s="485"/>
      <c r="Z44" s="485"/>
      <c r="AA44" s="485"/>
      <c r="AB44" s="486"/>
      <c r="AC44" s="487"/>
      <c r="AD44" s="486"/>
      <c r="AE44" s="458"/>
      <c r="AF44">
        <f t="shared" si="4"/>
        <v>55</v>
      </c>
      <c r="AI44" s="488"/>
      <c r="AJ44" s="490"/>
      <c r="AK44" s="490"/>
    </row>
    <row r="45" spans="1:37" x14ac:dyDescent="0.25">
      <c r="A45" s="483" t="s">
        <v>1395</v>
      </c>
      <c r="B45" s="739"/>
      <c r="C45" s="740"/>
      <c r="D45" s="740"/>
      <c r="E45" s="740"/>
      <c r="F45" s="740"/>
      <c r="G45" s="741" t="s">
        <v>1209</v>
      </c>
      <c r="H45" s="742">
        <v>1</v>
      </c>
      <c r="I45" s="484"/>
      <c r="J45" s="485"/>
      <c r="K45" s="485"/>
      <c r="L45" s="485"/>
      <c r="M45" s="485"/>
      <c r="N45" s="486"/>
      <c r="O45" s="487"/>
      <c r="P45" s="485"/>
      <c r="Q45" s="485"/>
      <c r="R45" s="485"/>
      <c r="S45" s="485"/>
      <c r="T45" s="485"/>
      <c r="U45" s="486"/>
      <c r="V45" s="486"/>
      <c r="W45" s="484"/>
      <c r="X45" s="485"/>
      <c r="Y45" s="485"/>
      <c r="Z45" s="485"/>
      <c r="AA45" s="485"/>
      <c r="AB45" s="486"/>
      <c r="AC45" s="487"/>
      <c r="AD45" s="486"/>
      <c r="AE45" s="458"/>
      <c r="AI45" s="488"/>
      <c r="AJ45" s="490"/>
      <c r="AK45" s="490"/>
    </row>
    <row r="46" spans="1:37" x14ac:dyDescent="0.25">
      <c r="A46" s="483" t="s">
        <v>1396</v>
      </c>
      <c r="B46" s="739"/>
      <c r="C46" s="740"/>
      <c r="D46" s="740"/>
      <c r="E46" s="740"/>
      <c r="F46" s="740"/>
      <c r="G46" s="741" t="s">
        <v>1209</v>
      </c>
      <c r="H46" s="742">
        <v>1</v>
      </c>
      <c r="I46" s="484" t="s">
        <v>66</v>
      </c>
      <c r="J46" s="485" t="s">
        <v>66</v>
      </c>
      <c r="K46" s="485" t="s">
        <v>66</v>
      </c>
      <c r="L46" s="485" t="s">
        <v>66</v>
      </c>
      <c r="M46" s="485" t="s">
        <v>66</v>
      </c>
      <c r="N46" s="486" t="s">
        <v>1209</v>
      </c>
      <c r="O46" s="487">
        <v>1</v>
      </c>
      <c r="P46" s="485"/>
      <c r="Q46" s="485"/>
      <c r="R46" s="485"/>
      <c r="S46" s="485"/>
      <c r="T46" s="485"/>
      <c r="U46" s="486"/>
      <c r="V46" s="486"/>
      <c r="W46" s="484"/>
      <c r="X46" s="485"/>
      <c r="Y46" s="485"/>
      <c r="Z46" s="485"/>
      <c r="AA46" s="485"/>
      <c r="AB46" s="486"/>
      <c r="AC46" s="487"/>
      <c r="AD46" s="486"/>
      <c r="AE46" s="458"/>
      <c r="AI46" s="488"/>
      <c r="AJ46" s="490"/>
      <c r="AK46" s="490"/>
    </row>
    <row r="47" spans="1:37" x14ac:dyDescent="0.25">
      <c r="A47" s="483" t="s">
        <v>1434</v>
      </c>
      <c r="B47" s="739"/>
      <c r="C47" s="740"/>
      <c r="D47" s="740"/>
      <c r="E47" s="740"/>
      <c r="F47" s="740"/>
      <c r="G47" s="741"/>
      <c r="H47" s="742"/>
      <c r="I47" s="484" t="s">
        <v>66</v>
      </c>
      <c r="J47" s="485"/>
      <c r="K47" s="485" t="s">
        <v>66</v>
      </c>
      <c r="L47" s="485" t="s">
        <v>66</v>
      </c>
      <c r="M47" s="485" t="s">
        <v>66</v>
      </c>
      <c r="N47" s="486" t="s">
        <v>1209</v>
      </c>
      <c r="O47" s="487">
        <v>1</v>
      </c>
      <c r="P47" s="485"/>
      <c r="Q47" s="485"/>
      <c r="R47" s="485"/>
      <c r="S47" s="485"/>
      <c r="T47" s="485"/>
      <c r="U47" s="486"/>
      <c r="V47" s="486"/>
      <c r="W47" s="484"/>
      <c r="X47" s="485"/>
      <c r="Y47" s="485"/>
      <c r="Z47" s="485"/>
      <c r="AA47" s="485"/>
      <c r="AB47" s="486"/>
      <c r="AC47" s="487"/>
      <c r="AD47" s="486"/>
      <c r="AE47" s="458"/>
      <c r="AI47" s="488"/>
      <c r="AJ47" s="490"/>
      <c r="AK47" s="490"/>
    </row>
    <row r="48" spans="1:37" x14ac:dyDescent="0.25">
      <c r="A48" s="483" t="s">
        <v>1435</v>
      </c>
      <c r="B48" s="739"/>
      <c r="C48" s="740"/>
      <c r="D48" s="740"/>
      <c r="E48" s="740"/>
      <c r="F48" s="740"/>
      <c r="G48" s="741"/>
      <c r="H48" s="742"/>
      <c r="I48" s="484" t="s">
        <v>66</v>
      </c>
      <c r="J48" s="485"/>
      <c r="K48" s="485" t="s">
        <v>66</v>
      </c>
      <c r="L48" s="485" t="s">
        <v>66</v>
      </c>
      <c r="M48" s="485" t="s">
        <v>66</v>
      </c>
      <c r="N48" s="486" t="s">
        <v>1209</v>
      </c>
      <c r="O48" s="487">
        <v>1</v>
      </c>
      <c r="P48" s="485"/>
      <c r="Q48" s="485"/>
      <c r="R48" s="485"/>
      <c r="S48" s="485"/>
      <c r="T48" s="485"/>
      <c r="U48" s="486"/>
      <c r="V48" s="486"/>
      <c r="W48" s="484"/>
      <c r="X48" s="485"/>
      <c r="Y48" s="485"/>
      <c r="Z48" s="485"/>
      <c r="AA48" s="485"/>
      <c r="AB48" s="486"/>
      <c r="AC48" s="487"/>
      <c r="AD48" s="486"/>
      <c r="AE48" s="458"/>
      <c r="AI48" s="488"/>
      <c r="AJ48" s="490"/>
      <c r="AK48" s="490"/>
    </row>
    <row r="49" spans="1:37" x14ac:dyDescent="0.25">
      <c r="A49" s="483" t="s">
        <v>1397</v>
      </c>
      <c r="B49" s="739"/>
      <c r="C49" s="740"/>
      <c r="D49" s="740"/>
      <c r="E49" s="740"/>
      <c r="F49" s="740"/>
      <c r="G49" s="741" t="s">
        <v>1209</v>
      </c>
      <c r="H49" s="742">
        <v>1</v>
      </c>
      <c r="I49" s="484"/>
      <c r="J49" s="485"/>
      <c r="K49" s="485"/>
      <c r="L49" s="485"/>
      <c r="M49" s="485"/>
      <c r="N49" s="486"/>
      <c r="O49" s="487"/>
      <c r="P49" s="485"/>
      <c r="Q49" s="485"/>
      <c r="R49" s="485"/>
      <c r="S49" s="485"/>
      <c r="T49" s="485"/>
      <c r="U49" s="486"/>
      <c r="V49" s="486"/>
      <c r="W49" s="484"/>
      <c r="X49" s="485"/>
      <c r="Y49" s="485"/>
      <c r="Z49" s="485"/>
      <c r="AA49" s="485"/>
      <c r="AB49" s="486"/>
      <c r="AC49" s="487"/>
      <c r="AD49" s="486"/>
      <c r="AE49" s="458"/>
      <c r="AI49" s="488"/>
      <c r="AJ49" s="490"/>
      <c r="AK49" s="490"/>
    </row>
    <row r="50" spans="1:37" x14ac:dyDescent="0.25">
      <c r="A50" s="483" t="s">
        <v>632</v>
      </c>
      <c r="B50" s="491"/>
      <c r="C50" s="492"/>
      <c r="D50" s="492"/>
      <c r="E50" s="492"/>
      <c r="F50" s="492"/>
      <c r="G50" s="493"/>
      <c r="H50" s="494"/>
      <c r="I50" s="484" t="s">
        <v>66</v>
      </c>
      <c r="J50" s="485"/>
      <c r="K50" s="485" t="s">
        <v>66</v>
      </c>
      <c r="L50" s="485" t="s">
        <v>66</v>
      </c>
      <c r="M50" s="485"/>
      <c r="N50" s="486" t="s">
        <v>1209</v>
      </c>
      <c r="O50" s="487">
        <v>1</v>
      </c>
      <c r="P50" s="485"/>
      <c r="Q50" s="485"/>
      <c r="R50" s="485"/>
      <c r="S50" s="485"/>
      <c r="T50" s="485"/>
      <c r="U50" s="486" t="s">
        <v>1209</v>
      </c>
      <c r="V50" s="486">
        <v>1</v>
      </c>
      <c r="W50" s="484"/>
      <c r="X50" s="485"/>
      <c r="Y50" s="485"/>
      <c r="Z50" s="485"/>
      <c r="AA50" s="485"/>
      <c r="AB50" s="486"/>
      <c r="AC50" s="487"/>
      <c r="AD50" s="486"/>
      <c r="AE50" s="458" t="str">
        <f t="shared" ref="AE50:AE82" si="7">IF(G50="S",25,IF(G50="M",35,IF(G50="L",55,"")))</f>
        <v/>
      </c>
      <c r="AF50">
        <f t="shared" ref="AF50:AF82" si="8">IF(N50="S",25,IF(N50="M",35,IF(N50="L",55,"")))</f>
        <v>55</v>
      </c>
      <c r="AG50">
        <f t="shared" ref="AG50:AG82" si="9">IF(U50="S",30,IF(U50="M",45,IF(U50="L",60,"")))</f>
        <v>60</v>
      </c>
      <c r="AH50" t="str">
        <f t="shared" ref="AH50:AH82" si="10">IF(AB50="S",30,IF(AB50="M",45,IF(AB50="L",60,"")))</f>
        <v/>
      </c>
      <c r="AI50" s="488"/>
      <c r="AJ50" s="490"/>
      <c r="AK50" s="490"/>
    </row>
    <row r="51" spans="1:37" x14ac:dyDescent="0.25">
      <c r="A51" s="483" t="s">
        <v>634</v>
      </c>
      <c r="B51" s="491"/>
      <c r="C51" s="492"/>
      <c r="D51" s="492"/>
      <c r="E51" s="492"/>
      <c r="F51" s="492"/>
      <c r="G51" s="493"/>
      <c r="H51" s="494"/>
      <c r="I51" s="484" t="s">
        <v>66</v>
      </c>
      <c r="J51" s="485" t="s">
        <v>66</v>
      </c>
      <c r="K51" s="485" t="s">
        <v>66</v>
      </c>
      <c r="L51" s="485" t="s">
        <v>56</v>
      </c>
      <c r="M51" s="485" t="s">
        <v>66</v>
      </c>
      <c r="N51" s="486" t="s">
        <v>1209</v>
      </c>
      <c r="O51" s="487">
        <v>1</v>
      </c>
      <c r="P51" s="485"/>
      <c r="Q51" s="485"/>
      <c r="R51" s="485"/>
      <c r="S51" s="485"/>
      <c r="T51" s="485"/>
      <c r="U51" s="486" t="s">
        <v>1209</v>
      </c>
      <c r="V51" s="486">
        <v>1</v>
      </c>
      <c r="W51" s="484"/>
      <c r="X51" s="485"/>
      <c r="Y51" s="485"/>
      <c r="Z51" s="485"/>
      <c r="AA51" s="485"/>
      <c r="AB51" s="486"/>
      <c r="AC51" s="487"/>
      <c r="AD51" s="486"/>
      <c r="AE51" s="458" t="str">
        <f t="shared" si="7"/>
        <v/>
      </c>
      <c r="AF51">
        <f t="shared" si="8"/>
        <v>55</v>
      </c>
      <c r="AG51">
        <f t="shared" si="9"/>
        <v>60</v>
      </c>
      <c r="AH51" t="str">
        <f t="shared" si="10"/>
        <v/>
      </c>
      <c r="AI51" s="488"/>
      <c r="AJ51" s="490"/>
      <c r="AK51" s="490"/>
    </row>
    <row r="52" spans="1:37" x14ac:dyDescent="0.25">
      <c r="A52" s="483" t="s">
        <v>124</v>
      </c>
      <c r="B52" s="484"/>
      <c r="C52" s="485"/>
      <c r="D52" s="485"/>
      <c r="E52" s="485"/>
      <c r="F52" s="485"/>
      <c r="G52" s="486" t="s">
        <v>1205</v>
      </c>
      <c r="H52" s="487">
        <v>1</v>
      </c>
      <c r="I52" s="484"/>
      <c r="J52" s="485"/>
      <c r="K52" s="485"/>
      <c r="L52" s="485"/>
      <c r="M52" s="485"/>
      <c r="N52" s="486" t="s">
        <v>1205</v>
      </c>
      <c r="O52" s="487">
        <v>1</v>
      </c>
      <c r="P52" s="485"/>
      <c r="Q52" s="485"/>
      <c r="R52" s="485"/>
      <c r="S52" s="485"/>
      <c r="T52" s="485"/>
      <c r="U52" s="486"/>
      <c r="V52" s="486"/>
      <c r="W52" s="484"/>
      <c r="X52" s="485"/>
      <c r="Y52" s="485"/>
      <c r="Z52" s="485"/>
      <c r="AA52" s="485"/>
      <c r="AB52" s="486"/>
      <c r="AC52" s="487"/>
      <c r="AD52" s="486" t="s">
        <v>1206</v>
      </c>
      <c r="AE52" s="458">
        <f t="shared" si="7"/>
        <v>35</v>
      </c>
      <c r="AF52">
        <f t="shared" si="8"/>
        <v>35</v>
      </c>
      <c r="AG52" t="str">
        <f t="shared" si="9"/>
        <v/>
      </c>
      <c r="AH52" t="str">
        <f t="shared" si="10"/>
        <v/>
      </c>
      <c r="AI52" s="488"/>
      <c r="AJ52" s="490">
        <v>291</v>
      </c>
      <c r="AK52" s="490" t="s">
        <v>1207</v>
      </c>
    </row>
    <row r="53" spans="1:37" x14ac:dyDescent="0.25">
      <c r="A53" s="483" t="s">
        <v>636</v>
      </c>
      <c r="B53" s="491"/>
      <c r="C53" s="492"/>
      <c r="D53" s="492"/>
      <c r="E53" s="492"/>
      <c r="F53" s="492"/>
      <c r="G53" s="493"/>
      <c r="H53" s="494"/>
      <c r="I53" s="484"/>
      <c r="J53" s="485"/>
      <c r="K53" s="485"/>
      <c r="L53" s="485"/>
      <c r="M53" s="485"/>
      <c r="N53" s="486" t="s">
        <v>1205</v>
      </c>
      <c r="O53" s="487">
        <v>1</v>
      </c>
      <c r="P53" s="485"/>
      <c r="Q53" s="485"/>
      <c r="R53" s="485"/>
      <c r="S53" s="485"/>
      <c r="T53" s="485"/>
      <c r="U53" s="486"/>
      <c r="V53" s="486"/>
      <c r="W53" s="484"/>
      <c r="X53" s="485"/>
      <c r="Y53" s="485"/>
      <c r="Z53" s="485"/>
      <c r="AA53" s="485"/>
      <c r="AB53" s="486"/>
      <c r="AC53" s="487"/>
      <c r="AD53" s="486"/>
      <c r="AE53" s="458" t="str">
        <f t="shared" si="7"/>
        <v/>
      </c>
      <c r="AF53">
        <f t="shared" si="8"/>
        <v>35</v>
      </c>
      <c r="AG53" t="str">
        <f t="shared" si="9"/>
        <v/>
      </c>
      <c r="AH53" t="str">
        <f t="shared" si="10"/>
        <v/>
      </c>
      <c r="AI53" s="488"/>
      <c r="AJ53" s="490"/>
      <c r="AK53" s="490"/>
    </row>
    <row r="54" spans="1:37" x14ac:dyDescent="0.25">
      <c r="A54" s="483" t="s">
        <v>126</v>
      </c>
      <c r="B54" s="484"/>
      <c r="C54" s="485"/>
      <c r="D54" s="485"/>
      <c r="E54" s="485"/>
      <c r="F54" s="485"/>
      <c r="G54" s="486" t="s">
        <v>1205</v>
      </c>
      <c r="H54" s="487">
        <v>1</v>
      </c>
      <c r="I54" s="484"/>
      <c r="J54" s="485"/>
      <c r="K54" s="485"/>
      <c r="L54" s="485"/>
      <c r="M54" s="485"/>
      <c r="N54" s="486" t="s">
        <v>1205</v>
      </c>
      <c r="O54" s="487">
        <v>1</v>
      </c>
      <c r="P54" s="485"/>
      <c r="Q54" s="485"/>
      <c r="R54" s="485"/>
      <c r="S54" s="485"/>
      <c r="T54" s="485"/>
      <c r="U54" s="486"/>
      <c r="V54" s="486"/>
      <c r="W54" s="484"/>
      <c r="X54" s="485"/>
      <c r="Y54" s="485"/>
      <c r="Z54" s="485"/>
      <c r="AA54" s="485"/>
      <c r="AB54" s="486"/>
      <c r="AC54" s="487"/>
      <c r="AD54" s="486" t="s">
        <v>1206</v>
      </c>
      <c r="AE54" s="458">
        <f t="shared" si="7"/>
        <v>35</v>
      </c>
      <c r="AF54">
        <f t="shared" si="8"/>
        <v>35</v>
      </c>
      <c r="AG54" t="str">
        <f t="shared" si="9"/>
        <v/>
      </c>
      <c r="AH54" t="str">
        <f t="shared" si="10"/>
        <v/>
      </c>
      <c r="AI54" s="488"/>
      <c r="AJ54" s="490">
        <v>292</v>
      </c>
      <c r="AK54" s="490" t="s">
        <v>1207</v>
      </c>
    </row>
    <row r="55" spans="1:37" x14ac:dyDescent="0.25">
      <c r="A55" s="483" t="s">
        <v>638</v>
      </c>
      <c r="B55" s="491"/>
      <c r="C55" s="492"/>
      <c r="D55" s="492"/>
      <c r="E55" s="492"/>
      <c r="F55" s="492"/>
      <c r="G55" s="493"/>
      <c r="H55" s="494"/>
      <c r="I55" s="484"/>
      <c r="J55" s="485"/>
      <c r="K55" s="485"/>
      <c r="L55" s="485"/>
      <c r="M55" s="485"/>
      <c r="N55" s="486" t="s">
        <v>1209</v>
      </c>
      <c r="O55" s="487">
        <v>1</v>
      </c>
      <c r="P55" s="485"/>
      <c r="Q55" s="485"/>
      <c r="R55" s="485"/>
      <c r="S55" s="485"/>
      <c r="T55" s="485"/>
      <c r="U55" s="486" t="s">
        <v>1209</v>
      </c>
      <c r="V55" s="486">
        <v>1</v>
      </c>
      <c r="W55" s="484"/>
      <c r="X55" s="485"/>
      <c r="Y55" s="485"/>
      <c r="Z55" s="485"/>
      <c r="AA55" s="485"/>
      <c r="AB55" s="486"/>
      <c r="AC55" s="487"/>
      <c r="AD55" s="486"/>
      <c r="AE55" s="458" t="str">
        <f t="shared" si="7"/>
        <v/>
      </c>
      <c r="AF55">
        <f t="shared" si="8"/>
        <v>55</v>
      </c>
      <c r="AG55">
        <f t="shared" si="9"/>
        <v>60</v>
      </c>
      <c r="AH55" t="str">
        <f t="shared" si="10"/>
        <v/>
      </c>
      <c r="AI55" s="488"/>
      <c r="AJ55" s="490"/>
      <c r="AK55" s="490"/>
    </row>
    <row r="56" spans="1:37" x14ac:dyDescent="0.25">
      <c r="A56" s="483" t="s">
        <v>128</v>
      </c>
      <c r="B56" s="484"/>
      <c r="C56" s="485"/>
      <c r="D56" s="485"/>
      <c r="E56" s="485"/>
      <c r="F56" s="485"/>
      <c r="G56" s="486" t="s">
        <v>1210</v>
      </c>
      <c r="H56" s="487">
        <v>3</v>
      </c>
      <c r="I56" s="484"/>
      <c r="J56" s="485"/>
      <c r="K56" s="485"/>
      <c r="L56" s="485"/>
      <c r="M56" s="485"/>
      <c r="N56" s="486" t="s">
        <v>1210</v>
      </c>
      <c r="O56" s="487">
        <v>3</v>
      </c>
      <c r="P56" s="485"/>
      <c r="Q56" s="485"/>
      <c r="R56" s="485"/>
      <c r="S56" s="485"/>
      <c r="T56" s="485"/>
      <c r="U56" s="486"/>
      <c r="V56" s="486"/>
      <c r="W56" s="484"/>
      <c r="X56" s="485"/>
      <c r="Y56" s="485"/>
      <c r="Z56" s="485"/>
      <c r="AA56" s="485"/>
      <c r="AB56" s="486"/>
      <c r="AC56" s="487"/>
      <c r="AD56" s="486" t="s">
        <v>1206</v>
      </c>
      <c r="AE56" s="458">
        <f t="shared" si="7"/>
        <v>25</v>
      </c>
      <c r="AF56">
        <f t="shared" si="8"/>
        <v>25</v>
      </c>
      <c r="AG56" t="str">
        <f t="shared" si="9"/>
        <v/>
      </c>
      <c r="AH56" t="str">
        <f t="shared" si="10"/>
        <v/>
      </c>
      <c r="AI56" s="488"/>
      <c r="AJ56" s="489"/>
      <c r="AK56" s="490" t="s">
        <v>1207</v>
      </c>
    </row>
    <row r="57" spans="1:37" x14ac:dyDescent="0.25">
      <c r="A57" s="483" t="s">
        <v>719</v>
      </c>
      <c r="B57" s="484"/>
      <c r="C57" s="485"/>
      <c r="D57" s="485"/>
      <c r="E57" s="485"/>
      <c r="F57" s="485"/>
      <c r="G57" s="486" t="s">
        <v>1209</v>
      </c>
      <c r="H57" s="487">
        <v>3</v>
      </c>
      <c r="I57" s="484"/>
      <c r="J57" s="485"/>
      <c r="K57" s="485"/>
      <c r="L57" s="485"/>
      <c r="M57" s="485"/>
      <c r="N57" s="486"/>
      <c r="O57" s="487"/>
      <c r="P57" s="485"/>
      <c r="Q57" s="485"/>
      <c r="R57" s="485"/>
      <c r="S57" s="485"/>
      <c r="T57" s="485"/>
      <c r="U57" s="486"/>
      <c r="V57" s="486"/>
      <c r="W57" s="484"/>
      <c r="X57" s="485"/>
      <c r="Y57" s="485"/>
      <c r="Z57" s="485"/>
      <c r="AA57" s="485"/>
      <c r="AB57" s="486"/>
      <c r="AC57" s="487"/>
      <c r="AD57" s="486"/>
      <c r="AE57" s="458">
        <f t="shared" si="7"/>
        <v>55</v>
      </c>
      <c r="AF57" t="str">
        <f t="shared" si="8"/>
        <v/>
      </c>
      <c r="AG57" t="str">
        <f t="shared" si="9"/>
        <v/>
      </c>
      <c r="AH57" t="str">
        <f t="shared" si="10"/>
        <v/>
      </c>
      <c r="AI57" s="488"/>
      <c r="AJ57" s="489"/>
      <c r="AK57" s="490"/>
    </row>
    <row r="58" spans="1:37" x14ac:dyDescent="0.25">
      <c r="A58" s="483" t="s">
        <v>131</v>
      </c>
      <c r="B58" s="484"/>
      <c r="C58" s="485"/>
      <c r="D58" s="485"/>
      <c r="E58" s="485"/>
      <c r="F58" s="485"/>
      <c r="G58" s="486"/>
      <c r="H58" s="487">
        <v>2</v>
      </c>
      <c r="I58" s="484"/>
      <c r="J58" s="485"/>
      <c r="K58" s="485"/>
      <c r="L58" s="485"/>
      <c r="M58" s="485"/>
      <c r="N58" s="486"/>
      <c r="O58" s="487"/>
      <c r="P58" s="485"/>
      <c r="Q58" s="485"/>
      <c r="R58" s="485"/>
      <c r="S58" s="485"/>
      <c r="T58" s="485"/>
      <c r="U58" s="486"/>
      <c r="V58" s="486"/>
      <c r="W58" s="484"/>
      <c r="X58" s="485"/>
      <c r="Y58" s="485"/>
      <c r="Z58" s="485"/>
      <c r="AA58" s="485"/>
      <c r="AB58" s="486"/>
      <c r="AC58" s="487"/>
      <c r="AD58" s="486" t="s">
        <v>1206</v>
      </c>
      <c r="AE58" s="458" t="str">
        <f t="shared" si="7"/>
        <v/>
      </c>
      <c r="AF58" t="str">
        <f t="shared" si="8"/>
        <v/>
      </c>
      <c r="AG58" t="str">
        <f t="shared" si="9"/>
        <v/>
      </c>
      <c r="AH58" t="str">
        <f t="shared" si="10"/>
        <v/>
      </c>
      <c r="AI58" s="488"/>
      <c r="AJ58" s="489"/>
      <c r="AK58" s="490" t="s">
        <v>1207</v>
      </c>
    </row>
    <row r="59" spans="1:37" x14ac:dyDescent="0.25">
      <c r="A59" s="483" t="s">
        <v>722</v>
      </c>
      <c r="B59" s="484" t="s">
        <v>66</v>
      </c>
      <c r="C59" s="485"/>
      <c r="D59" s="485" t="s">
        <v>66</v>
      </c>
      <c r="E59" s="485"/>
      <c r="F59" s="485"/>
      <c r="G59" s="486"/>
      <c r="H59" s="487">
        <v>3</v>
      </c>
      <c r="I59" s="484"/>
      <c r="J59" s="485"/>
      <c r="K59" s="485"/>
      <c r="L59" s="485"/>
      <c r="M59" s="485"/>
      <c r="N59" s="486" t="s">
        <v>1205</v>
      </c>
      <c r="O59" s="487">
        <v>2</v>
      </c>
      <c r="P59" s="485"/>
      <c r="Q59" s="485"/>
      <c r="R59" s="485"/>
      <c r="S59" s="485"/>
      <c r="T59" s="485"/>
      <c r="U59" s="486"/>
      <c r="V59" s="486"/>
      <c r="W59" s="484"/>
      <c r="X59" s="485"/>
      <c r="Y59" s="485"/>
      <c r="Z59" s="485"/>
      <c r="AA59" s="485"/>
      <c r="AB59" s="486"/>
      <c r="AC59" s="487"/>
      <c r="AD59" s="486"/>
      <c r="AE59" s="458" t="str">
        <f t="shared" si="7"/>
        <v/>
      </c>
      <c r="AF59">
        <f t="shared" si="8"/>
        <v>35</v>
      </c>
      <c r="AG59" t="str">
        <f t="shared" si="9"/>
        <v/>
      </c>
      <c r="AH59" t="str">
        <f t="shared" si="10"/>
        <v/>
      </c>
      <c r="AI59" s="488"/>
      <c r="AJ59" s="489"/>
      <c r="AK59" s="490"/>
    </row>
    <row r="60" spans="1:37" x14ac:dyDescent="0.25">
      <c r="A60" s="483" t="s">
        <v>134</v>
      </c>
      <c r="B60" s="484" t="s">
        <v>66</v>
      </c>
      <c r="C60" s="485"/>
      <c r="D60" s="485" t="s">
        <v>66</v>
      </c>
      <c r="E60" s="485"/>
      <c r="F60" s="485"/>
      <c r="G60" s="486" t="s">
        <v>1212</v>
      </c>
      <c r="H60" s="487">
        <v>3</v>
      </c>
      <c r="I60" s="484"/>
      <c r="J60" s="485"/>
      <c r="K60" s="485"/>
      <c r="L60" s="485"/>
      <c r="M60" s="485"/>
      <c r="N60" s="486" t="s">
        <v>1209</v>
      </c>
      <c r="O60" s="487">
        <v>3</v>
      </c>
      <c r="P60" s="485"/>
      <c r="Q60" s="485"/>
      <c r="R60" s="485"/>
      <c r="S60" s="485"/>
      <c r="T60" s="485"/>
      <c r="U60" s="486"/>
      <c r="V60" s="486"/>
      <c r="W60" s="484"/>
      <c r="X60" s="485"/>
      <c r="Y60" s="485"/>
      <c r="Z60" s="485"/>
      <c r="AA60" s="485"/>
      <c r="AB60" s="486"/>
      <c r="AC60" s="487"/>
      <c r="AD60" s="486" t="s">
        <v>1206</v>
      </c>
      <c r="AE60" s="458">
        <f t="shared" si="7"/>
        <v>25</v>
      </c>
      <c r="AF60">
        <f t="shared" si="8"/>
        <v>55</v>
      </c>
      <c r="AG60" t="str">
        <f t="shared" si="9"/>
        <v/>
      </c>
      <c r="AH60" t="str">
        <f t="shared" si="10"/>
        <v/>
      </c>
      <c r="AI60" s="488"/>
      <c r="AJ60" s="490">
        <v>327</v>
      </c>
      <c r="AK60" s="490" t="s">
        <v>1207</v>
      </c>
    </row>
    <row r="61" spans="1:37" x14ac:dyDescent="0.25">
      <c r="A61" s="483" t="s">
        <v>137</v>
      </c>
      <c r="B61" s="484"/>
      <c r="C61" s="485"/>
      <c r="D61" s="485"/>
      <c r="E61" s="485"/>
      <c r="F61" s="485"/>
      <c r="G61" s="486" t="s">
        <v>1208</v>
      </c>
      <c r="H61" s="487">
        <v>3</v>
      </c>
      <c r="I61" s="484"/>
      <c r="J61" s="485"/>
      <c r="K61" s="485"/>
      <c r="L61" s="485"/>
      <c r="M61" s="485"/>
      <c r="N61" s="486" t="s">
        <v>1208</v>
      </c>
      <c r="O61" s="487">
        <v>2</v>
      </c>
      <c r="P61" s="485"/>
      <c r="Q61" s="485"/>
      <c r="R61" s="485"/>
      <c r="S61" s="485"/>
      <c r="T61" s="485"/>
      <c r="U61" s="486"/>
      <c r="V61" s="486"/>
      <c r="W61" s="484"/>
      <c r="X61" s="485"/>
      <c r="Y61" s="485"/>
      <c r="Z61" s="485"/>
      <c r="AA61" s="485"/>
      <c r="AB61" s="486"/>
      <c r="AC61" s="487"/>
      <c r="AD61" s="486" t="s">
        <v>1206</v>
      </c>
      <c r="AE61" s="458">
        <f t="shared" si="7"/>
        <v>35</v>
      </c>
      <c r="AF61">
        <f t="shared" si="8"/>
        <v>35</v>
      </c>
      <c r="AG61" t="str">
        <f t="shared" si="9"/>
        <v/>
      </c>
      <c r="AH61" t="str">
        <f t="shared" si="10"/>
        <v/>
      </c>
      <c r="AI61" s="488"/>
      <c r="AJ61" s="490">
        <v>51</v>
      </c>
      <c r="AK61" s="490" t="s">
        <v>1207</v>
      </c>
    </row>
    <row r="62" spans="1:37" x14ac:dyDescent="0.25">
      <c r="A62" s="483" t="s">
        <v>140</v>
      </c>
      <c r="B62" s="484"/>
      <c r="C62" s="485"/>
      <c r="D62" s="485"/>
      <c r="E62" s="485"/>
      <c r="F62" s="485"/>
      <c r="G62" s="486" t="s">
        <v>1212</v>
      </c>
      <c r="H62" s="487">
        <v>3</v>
      </c>
      <c r="I62" s="484"/>
      <c r="J62" s="485"/>
      <c r="K62" s="485"/>
      <c r="L62" s="485"/>
      <c r="M62" s="485"/>
      <c r="N62" s="486"/>
      <c r="O62" s="487"/>
      <c r="P62" s="485"/>
      <c r="Q62" s="485"/>
      <c r="R62" s="485"/>
      <c r="S62" s="485"/>
      <c r="T62" s="485"/>
      <c r="U62" s="486"/>
      <c r="V62" s="486"/>
      <c r="W62" s="484"/>
      <c r="X62" s="485"/>
      <c r="Y62" s="485"/>
      <c r="Z62" s="485"/>
      <c r="AA62" s="485"/>
      <c r="AB62" s="486"/>
      <c r="AC62" s="487"/>
      <c r="AD62" s="486"/>
      <c r="AE62" s="458">
        <f t="shared" si="7"/>
        <v>25</v>
      </c>
      <c r="AF62" t="str">
        <f t="shared" si="8"/>
        <v/>
      </c>
      <c r="AG62" t="str">
        <f t="shared" si="9"/>
        <v/>
      </c>
      <c r="AH62" t="str">
        <f t="shared" si="10"/>
        <v/>
      </c>
      <c r="AI62" s="488"/>
      <c r="AJ62" s="490"/>
      <c r="AK62" s="490" t="s">
        <v>1213</v>
      </c>
    </row>
    <row r="63" spans="1:37" x14ac:dyDescent="0.25">
      <c r="A63" s="483" t="s">
        <v>1400</v>
      </c>
      <c r="B63" s="484"/>
      <c r="C63" s="485"/>
      <c r="D63" s="485"/>
      <c r="E63" s="485"/>
      <c r="F63" s="485"/>
      <c r="G63" s="486"/>
      <c r="H63" s="487"/>
      <c r="I63" s="484"/>
      <c r="J63" s="485"/>
      <c r="K63" s="485"/>
      <c r="L63" s="485"/>
      <c r="M63" s="485"/>
      <c r="N63" s="486" t="s">
        <v>1209</v>
      </c>
      <c r="O63" s="487">
        <v>2</v>
      </c>
      <c r="P63" s="485"/>
      <c r="Q63" s="485"/>
      <c r="R63" s="485"/>
      <c r="S63" s="485"/>
      <c r="T63" s="485"/>
      <c r="U63" s="486"/>
      <c r="V63" s="486"/>
      <c r="W63" s="484"/>
      <c r="X63" s="485"/>
      <c r="Y63" s="485"/>
      <c r="Z63" s="485"/>
      <c r="AA63" s="485"/>
      <c r="AB63" s="486"/>
      <c r="AC63" s="487"/>
      <c r="AD63" s="486"/>
      <c r="AE63" s="458"/>
      <c r="AI63" s="488"/>
      <c r="AJ63" s="490"/>
      <c r="AK63" s="490"/>
    </row>
    <row r="64" spans="1:37" x14ac:dyDescent="0.25">
      <c r="A64" s="483" t="s">
        <v>143</v>
      </c>
      <c r="B64" s="484"/>
      <c r="C64" s="485"/>
      <c r="D64" s="485"/>
      <c r="E64" s="485"/>
      <c r="F64" s="485"/>
      <c r="G64" s="486" t="s">
        <v>1212</v>
      </c>
      <c r="H64" s="487">
        <v>1</v>
      </c>
      <c r="I64" s="484" t="s">
        <v>66</v>
      </c>
      <c r="J64" s="485"/>
      <c r="K64" s="485" t="s">
        <v>66</v>
      </c>
      <c r="L64" s="485"/>
      <c r="M64" s="485"/>
      <c r="N64" s="486" t="s">
        <v>1212</v>
      </c>
      <c r="O64" s="487">
        <v>1</v>
      </c>
      <c r="P64" s="485"/>
      <c r="Q64" s="485"/>
      <c r="R64" s="485"/>
      <c r="S64" s="485"/>
      <c r="T64" s="485"/>
      <c r="U64" s="486" t="s">
        <v>1210</v>
      </c>
      <c r="V64" s="486">
        <v>1</v>
      </c>
      <c r="W64" s="484"/>
      <c r="X64" s="485"/>
      <c r="Y64" s="485"/>
      <c r="Z64" s="485"/>
      <c r="AA64" s="485"/>
      <c r="AB64" s="486"/>
      <c r="AC64" s="487"/>
      <c r="AD64" s="486" t="s">
        <v>1206</v>
      </c>
      <c r="AE64" s="458">
        <f t="shared" si="7"/>
        <v>25</v>
      </c>
      <c r="AF64">
        <f t="shared" si="8"/>
        <v>25</v>
      </c>
      <c r="AG64">
        <f t="shared" si="9"/>
        <v>30</v>
      </c>
      <c r="AH64" t="str">
        <f t="shared" si="10"/>
        <v/>
      </c>
      <c r="AI64" s="488">
        <v>200</v>
      </c>
      <c r="AJ64" s="490">
        <v>53</v>
      </c>
      <c r="AK64" s="490" t="s">
        <v>1207</v>
      </c>
    </row>
    <row r="65" spans="1:37" x14ac:dyDescent="0.25">
      <c r="A65" s="483" t="s">
        <v>146</v>
      </c>
      <c r="B65" s="484" t="s">
        <v>66</v>
      </c>
      <c r="C65" s="485"/>
      <c r="D65" s="485" t="s">
        <v>66</v>
      </c>
      <c r="E65" s="485"/>
      <c r="F65" s="485" t="s">
        <v>66</v>
      </c>
      <c r="G65" s="486" t="s">
        <v>1208</v>
      </c>
      <c r="H65" s="487">
        <v>2</v>
      </c>
      <c r="I65" s="484" t="s">
        <v>66</v>
      </c>
      <c r="J65" s="485"/>
      <c r="K65" s="485" t="s">
        <v>66</v>
      </c>
      <c r="L65" s="485" t="s">
        <v>56</v>
      </c>
      <c r="M65" s="485" t="s">
        <v>66</v>
      </c>
      <c r="N65" s="486" t="s">
        <v>1209</v>
      </c>
      <c r="O65" s="487">
        <v>1</v>
      </c>
      <c r="P65" s="485"/>
      <c r="Q65" s="485"/>
      <c r="R65" s="485"/>
      <c r="S65" s="485"/>
      <c r="T65" s="485"/>
      <c r="U65" s="486"/>
      <c r="V65" s="486"/>
      <c r="W65" s="484"/>
      <c r="X65" s="485"/>
      <c r="Y65" s="485"/>
      <c r="Z65" s="485"/>
      <c r="AA65" s="485"/>
      <c r="AB65" s="486"/>
      <c r="AC65" s="487"/>
      <c r="AD65" s="486" t="s">
        <v>1206</v>
      </c>
      <c r="AE65" s="458">
        <f t="shared" si="7"/>
        <v>35</v>
      </c>
      <c r="AF65">
        <f t="shared" si="8"/>
        <v>55</v>
      </c>
      <c r="AG65" t="str">
        <f t="shared" si="9"/>
        <v/>
      </c>
      <c r="AH65" t="str">
        <f t="shared" si="10"/>
        <v/>
      </c>
      <c r="AI65" s="488"/>
      <c r="AJ65" s="490">
        <v>54</v>
      </c>
      <c r="AK65" s="490" t="s">
        <v>1207</v>
      </c>
    </row>
    <row r="66" spans="1:37" x14ac:dyDescent="0.25">
      <c r="A66" s="483" t="s">
        <v>149</v>
      </c>
      <c r="B66" s="484"/>
      <c r="C66" s="485"/>
      <c r="D66" s="485"/>
      <c r="E66" s="485"/>
      <c r="F66" s="485"/>
      <c r="G66" s="486" t="s">
        <v>1209</v>
      </c>
      <c r="H66" s="487">
        <v>2</v>
      </c>
      <c r="I66" s="484"/>
      <c r="J66" s="485"/>
      <c r="K66" s="485"/>
      <c r="L66" s="485"/>
      <c r="M66" s="485"/>
      <c r="N66" s="486" t="s">
        <v>1205</v>
      </c>
      <c r="O66" s="487">
        <v>2</v>
      </c>
      <c r="P66" s="485"/>
      <c r="Q66" s="485"/>
      <c r="R66" s="485"/>
      <c r="S66" s="485"/>
      <c r="T66" s="485"/>
      <c r="U66" s="486"/>
      <c r="V66" s="486"/>
      <c r="W66" s="484"/>
      <c r="X66" s="485"/>
      <c r="Y66" s="485"/>
      <c r="Z66" s="485"/>
      <c r="AA66" s="485"/>
      <c r="AB66" s="486"/>
      <c r="AC66" s="487"/>
      <c r="AD66" s="486" t="s">
        <v>1206</v>
      </c>
      <c r="AE66" s="458">
        <f t="shared" si="7"/>
        <v>55</v>
      </c>
      <c r="AF66">
        <f t="shared" si="8"/>
        <v>35</v>
      </c>
      <c r="AG66" t="str">
        <f t="shared" si="9"/>
        <v/>
      </c>
      <c r="AH66" t="str">
        <f t="shared" si="10"/>
        <v/>
      </c>
      <c r="AI66" s="488"/>
      <c r="AJ66" s="490">
        <v>55</v>
      </c>
      <c r="AK66" s="490" t="s">
        <v>1207</v>
      </c>
    </row>
    <row r="67" spans="1:37" x14ac:dyDescent="0.25">
      <c r="A67" s="677" t="s">
        <v>1376</v>
      </c>
      <c r="B67" s="496"/>
      <c r="C67" s="497"/>
      <c r="D67" s="497"/>
      <c r="E67" s="497"/>
      <c r="F67" s="497"/>
      <c r="G67" s="278" t="s">
        <v>1209</v>
      </c>
      <c r="H67" s="498">
        <v>2</v>
      </c>
      <c r="I67" s="496"/>
      <c r="J67" s="497"/>
      <c r="K67" s="497"/>
      <c r="L67" s="497"/>
      <c r="M67" s="497"/>
      <c r="N67" s="278"/>
      <c r="O67" s="498"/>
      <c r="P67" s="497"/>
      <c r="Q67" s="497"/>
      <c r="R67" s="497"/>
      <c r="S67" s="497"/>
      <c r="T67" s="497"/>
      <c r="U67" s="278"/>
      <c r="V67" s="278"/>
      <c r="W67" s="496"/>
      <c r="X67" s="497"/>
      <c r="Y67" s="497"/>
      <c r="Z67" s="497"/>
      <c r="AA67" s="497"/>
      <c r="AB67" s="278"/>
      <c r="AC67" s="498"/>
      <c r="AD67" s="278"/>
      <c r="AE67" s="458">
        <f t="shared" si="7"/>
        <v>55</v>
      </c>
      <c r="AF67" t="str">
        <f t="shared" si="8"/>
        <v/>
      </c>
      <c r="AG67" t="str">
        <f t="shared" si="9"/>
        <v/>
      </c>
      <c r="AH67" t="str">
        <f t="shared" si="10"/>
        <v/>
      </c>
      <c r="AI67" s="727"/>
      <c r="AJ67" s="523"/>
      <c r="AK67" s="490"/>
    </row>
    <row r="68" spans="1:37" x14ac:dyDescent="0.25">
      <c r="A68" s="483" t="s">
        <v>152</v>
      </c>
      <c r="B68" s="484"/>
      <c r="C68" s="485"/>
      <c r="D68" s="485"/>
      <c r="E68" s="485"/>
      <c r="F68" s="485"/>
      <c r="G68" s="486" t="s">
        <v>1205</v>
      </c>
      <c r="H68" s="487">
        <v>2</v>
      </c>
      <c r="I68" s="484"/>
      <c r="J68" s="485"/>
      <c r="K68" s="485"/>
      <c r="L68" s="485"/>
      <c r="M68" s="485"/>
      <c r="N68" s="486" t="s">
        <v>1208</v>
      </c>
      <c r="O68" s="487">
        <v>2</v>
      </c>
      <c r="P68" s="485"/>
      <c r="Q68" s="485"/>
      <c r="R68" s="485"/>
      <c r="S68" s="485"/>
      <c r="T68" s="485"/>
      <c r="U68" s="486"/>
      <c r="V68" s="486"/>
      <c r="W68" s="484"/>
      <c r="X68" s="485"/>
      <c r="Y68" s="485"/>
      <c r="Z68" s="485"/>
      <c r="AA68" s="485"/>
      <c r="AB68" s="486"/>
      <c r="AC68" s="487"/>
      <c r="AD68" s="486" t="s">
        <v>1206</v>
      </c>
      <c r="AE68" s="458">
        <f t="shared" si="7"/>
        <v>35</v>
      </c>
      <c r="AF68">
        <f t="shared" si="8"/>
        <v>35</v>
      </c>
      <c r="AG68" t="str">
        <f t="shared" si="9"/>
        <v/>
      </c>
      <c r="AH68" t="str">
        <f t="shared" si="10"/>
        <v/>
      </c>
      <c r="AI68" s="488"/>
      <c r="AJ68" s="490">
        <v>56</v>
      </c>
      <c r="AK68" s="490" t="s">
        <v>1207</v>
      </c>
    </row>
    <row r="69" spans="1:37" x14ac:dyDescent="0.25">
      <c r="A69" s="483" t="s">
        <v>155</v>
      </c>
      <c r="B69" s="484" t="s">
        <v>66</v>
      </c>
      <c r="C69" s="485"/>
      <c r="D69" s="485" t="s">
        <v>66</v>
      </c>
      <c r="E69" s="485" t="s">
        <v>66</v>
      </c>
      <c r="F69" s="485" t="s">
        <v>66</v>
      </c>
      <c r="G69" s="486" t="s">
        <v>1209</v>
      </c>
      <c r="H69" s="487">
        <v>1</v>
      </c>
      <c r="I69" s="484" t="s">
        <v>66</v>
      </c>
      <c r="J69" s="485"/>
      <c r="K69" s="485" t="s">
        <v>66</v>
      </c>
      <c r="L69" s="485" t="s">
        <v>56</v>
      </c>
      <c r="M69" s="485" t="s">
        <v>66</v>
      </c>
      <c r="N69" s="486" t="s">
        <v>1205</v>
      </c>
      <c r="O69" s="487">
        <v>1</v>
      </c>
      <c r="P69" s="485" t="s">
        <v>66</v>
      </c>
      <c r="Q69" s="485" t="s">
        <v>66</v>
      </c>
      <c r="R69" s="485" t="s">
        <v>66</v>
      </c>
      <c r="S69" s="485" t="s">
        <v>66</v>
      </c>
      <c r="T69" s="485" t="s">
        <v>66</v>
      </c>
      <c r="U69" s="486" t="s">
        <v>1209</v>
      </c>
      <c r="V69" s="486">
        <v>1</v>
      </c>
      <c r="W69" s="484"/>
      <c r="X69" s="485"/>
      <c r="Y69" s="485"/>
      <c r="Z69" s="485"/>
      <c r="AA69" s="485"/>
      <c r="AB69" s="486"/>
      <c r="AC69" s="487"/>
      <c r="AD69" s="486" t="s">
        <v>1206</v>
      </c>
      <c r="AE69" s="458">
        <f t="shared" si="7"/>
        <v>55</v>
      </c>
      <c r="AF69">
        <f t="shared" si="8"/>
        <v>35</v>
      </c>
      <c r="AG69">
        <f t="shared" si="9"/>
        <v>60</v>
      </c>
      <c r="AH69" t="str">
        <f t="shared" si="10"/>
        <v/>
      </c>
      <c r="AI69" s="488">
        <v>1000</v>
      </c>
      <c r="AJ69" s="490">
        <v>57</v>
      </c>
      <c r="AK69" s="490" t="s">
        <v>1207</v>
      </c>
    </row>
    <row r="70" spans="1:37" x14ac:dyDescent="0.25">
      <c r="A70" s="483" t="s">
        <v>640</v>
      </c>
      <c r="B70" s="491"/>
      <c r="C70" s="492"/>
      <c r="D70" s="492"/>
      <c r="E70" s="492"/>
      <c r="F70" s="492"/>
      <c r="G70" s="493"/>
      <c r="H70" s="494"/>
      <c r="I70" s="484"/>
      <c r="J70" s="485"/>
      <c r="K70" s="485"/>
      <c r="L70" s="485"/>
      <c r="M70" s="485"/>
      <c r="N70" s="486"/>
      <c r="O70" s="487">
        <v>2</v>
      </c>
      <c r="P70" s="485"/>
      <c r="Q70" s="485"/>
      <c r="R70" s="485"/>
      <c r="S70" s="485"/>
      <c r="T70" s="485"/>
      <c r="U70" s="486"/>
      <c r="V70" s="486"/>
      <c r="W70" s="484"/>
      <c r="X70" s="485"/>
      <c r="Y70" s="485"/>
      <c r="Z70" s="485"/>
      <c r="AA70" s="485"/>
      <c r="AB70" s="486"/>
      <c r="AC70" s="487"/>
      <c r="AD70" s="486"/>
      <c r="AE70" s="458" t="str">
        <f t="shared" si="7"/>
        <v/>
      </c>
      <c r="AF70" t="str">
        <f t="shared" si="8"/>
        <v/>
      </c>
      <c r="AG70" t="str">
        <f t="shared" si="9"/>
        <v/>
      </c>
      <c r="AH70" t="str">
        <f t="shared" si="10"/>
        <v/>
      </c>
      <c r="AI70" s="488"/>
      <c r="AJ70" s="490"/>
      <c r="AK70" s="490"/>
    </row>
    <row r="71" spans="1:37" x14ac:dyDescent="0.25">
      <c r="A71" s="483" t="s">
        <v>158</v>
      </c>
      <c r="B71" s="484"/>
      <c r="C71" s="485"/>
      <c r="D71" s="485"/>
      <c r="E71" s="485"/>
      <c r="F71" s="485"/>
      <c r="G71" s="486" t="s">
        <v>1212</v>
      </c>
      <c r="H71" s="487">
        <v>2</v>
      </c>
      <c r="I71" s="484" t="s">
        <v>66</v>
      </c>
      <c r="J71" s="485" t="s">
        <v>66</v>
      </c>
      <c r="K71" s="485" t="s">
        <v>66</v>
      </c>
      <c r="L71" s="485"/>
      <c r="M71" s="485"/>
      <c r="N71" s="486" t="s">
        <v>1210</v>
      </c>
      <c r="O71" s="487">
        <v>2</v>
      </c>
      <c r="P71" s="485"/>
      <c r="Q71" s="485"/>
      <c r="R71" s="485"/>
      <c r="S71" s="485"/>
      <c r="T71" s="485"/>
      <c r="U71" s="486"/>
      <c r="V71" s="486"/>
      <c r="W71" s="484"/>
      <c r="X71" s="485"/>
      <c r="Y71" s="485"/>
      <c r="Z71" s="485"/>
      <c r="AA71" s="485"/>
      <c r="AB71" s="486"/>
      <c r="AC71" s="487"/>
      <c r="AD71" s="486"/>
      <c r="AE71" s="458">
        <f t="shared" si="7"/>
        <v>25</v>
      </c>
      <c r="AF71">
        <f t="shared" si="8"/>
        <v>25</v>
      </c>
      <c r="AG71" t="str">
        <f t="shared" si="9"/>
        <v/>
      </c>
      <c r="AH71" t="str">
        <f t="shared" si="10"/>
        <v/>
      </c>
      <c r="AI71" s="488"/>
      <c r="AJ71" s="490"/>
      <c r="AK71" s="490"/>
    </row>
    <row r="72" spans="1:37" x14ac:dyDescent="0.25">
      <c r="A72" s="483" t="s">
        <v>645</v>
      </c>
      <c r="B72" s="491"/>
      <c r="C72" s="492"/>
      <c r="D72" s="492"/>
      <c r="E72" s="492"/>
      <c r="F72" s="492"/>
      <c r="G72" s="493"/>
      <c r="H72" s="494"/>
      <c r="I72" s="484"/>
      <c r="J72" s="485"/>
      <c r="K72" s="485"/>
      <c r="L72" s="485"/>
      <c r="M72" s="485"/>
      <c r="N72" s="486"/>
      <c r="O72" s="487">
        <v>2</v>
      </c>
      <c r="P72" s="485"/>
      <c r="Q72" s="485"/>
      <c r="R72" s="485"/>
      <c r="S72" s="485"/>
      <c r="T72" s="485"/>
      <c r="U72" s="486"/>
      <c r="V72" s="486"/>
      <c r="W72" s="484"/>
      <c r="X72" s="485"/>
      <c r="Y72" s="485"/>
      <c r="Z72" s="485"/>
      <c r="AA72" s="485"/>
      <c r="AB72" s="486"/>
      <c r="AC72" s="487"/>
      <c r="AD72" s="486"/>
      <c r="AE72" s="458" t="str">
        <f t="shared" si="7"/>
        <v/>
      </c>
      <c r="AF72" t="str">
        <f t="shared" si="8"/>
        <v/>
      </c>
      <c r="AG72" t="str">
        <f t="shared" si="9"/>
        <v/>
      </c>
      <c r="AH72" t="str">
        <f t="shared" si="10"/>
        <v/>
      </c>
      <c r="AI72" s="488"/>
      <c r="AJ72" s="490"/>
      <c r="AK72" s="490"/>
    </row>
    <row r="73" spans="1:37" x14ac:dyDescent="0.25">
      <c r="A73" s="483" t="s">
        <v>161</v>
      </c>
      <c r="B73" s="484" t="s">
        <v>66</v>
      </c>
      <c r="C73" s="485" t="s">
        <v>66</v>
      </c>
      <c r="D73" s="485" t="s">
        <v>66</v>
      </c>
      <c r="E73" s="485"/>
      <c r="F73" s="485"/>
      <c r="G73" s="486" t="s">
        <v>1209</v>
      </c>
      <c r="H73" s="487">
        <v>1</v>
      </c>
      <c r="I73" s="484"/>
      <c r="J73" s="485"/>
      <c r="K73" s="485"/>
      <c r="L73" s="485"/>
      <c r="M73" s="485"/>
      <c r="N73" s="486" t="s">
        <v>1209</v>
      </c>
      <c r="O73" s="487">
        <v>1</v>
      </c>
      <c r="P73" s="485"/>
      <c r="Q73" s="485"/>
      <c r="R73" s="485"/>
      <c r="S73" s="485"/>
      <c r="T73" s="485"/>
      <c r="U73" s="486" t="s">
        <v>1209</v>
      </c>
      <c r="V73" s="486">
        <v>1</v>
      </c>
      <c r="W73" s="484"/>
      <c r="X73" s="485"/>
      <c r="Y73" s="485"/>
      <c r="Z73" s="485"/>
      <c r="AA73" s="485"/>
      <c r="AB73" s="486"/>
      <c r="AC73" s="487"/>
      <c r="AD73" s="486" t="s">
        <v>1206</v>
      </c>
      <c r="AE73" s="458">
        <f t="shared" si="7"/>
        <v>55</v>
      </c>
      <c r="AF73">
        <f t="shared" si="8"/>
        <v>55</v>
      </c>
      <c r="AG73">
        <f t="shared" si="9"/>
        <v>60</v>
      </c>
      <c r="AH73" t="str">
        <f t="shared" si="10"/>
        <v/>
      </c>
      <c r="AI73" s="488">
        <v>500</v>
      </c>
      <c r="AJ73" s="490">
        <v>58</v>
      </c>
      <c r="AK73" s="490" t="s">
        <v>1207</v>
      </c>
    </row>
    <row r="74" spans="1:37" x14ac:dyDescent="0.25">
      <c r="A74" s="483" t="s">
        <v>164</v>
      </c>
      <c r="B74" s="484"/>
      <c r="C74" s="485"/>
      <c r="D74" s="485"/>
      <c r="E74" s="485"/>
      <c r="F74" s="485"/>
      <c r="G74" s="486"/>
      <c r="H74" s="487">
        <v>2</v>
      </c>
      <c r="I74" s="484"/>
      <c r="J74" s="485"/>
      <c r="K74" s="485"/>
      <c r="L74" s="485"/>
      <c r="M74" s="485"/>
      <c r="N74" s="486"/>
      <c r="O74" s="487"/>
      <c r="P74" s="485"/>
      <c r="Q74" s="485"/>
      <c r="R74" s="485"/>
      <c r="S74" s="485"/>
      <c r="T74" s="485"/>
      <c r="U74" s="486"/>
      <c r="V74" s="486"/>
      <c r="W74" s="484"/>
      <c r="X74" s="485"/>
      <c r="Y74" s="485"/>
      <c r="Z74" s="485"/>
      <c r="AA74" s="485"/>
      <c r="AB74" s="486"/>
      <c r="AC74" s="487"/>
      <c r="AD74" s="486" t="s">
        <v>1206</v>
      </c>
      <c r="AE74" s="458" t="str">
        <f t="shared" si="7"/>
        <v/>
      </c>
      <c r="AF74" t="str">
        <f t="shared" si="8"/>
        <v/>
      </c>
      <c r="AG74" t="str">
        <f t="shared" si="9"/>
        <v/>
      </c>
      <c r="AH74" t="str">
        <f t="shared" si="10"/>
        <v/>
      </c>
      <c r="AI74" s="488"/>
      <c r="AJ74" s="490">
        <v>59</v>
      </c>
      <c r="AK74" s="490" t="s">
        <v>1207</v>
      </c>
    </row>
    <row r="75" spans="1:37" x14ac:dyDescent="0.25">
      <c r="A75" s="483" t="s">
        <v>167</v>
      </c>
      <c r="B75" s="484"/>
      <c r="C75" s="485"/>
      <c r="D75" s="485"/>
      <c r="E75" s="485"/>
      <c r="F75" s="485"/>
      <c r="G75" s="486" t="s">
        <v>1212</v>
      </c>
      <c r="H75" s="487">
        <v>2</v>
      </c>
      <c r="I75" s="484"/>
      <c r="J75" s="485"/>
      <c r="K75" s="485"/>
      <c r="L75" s="485"/>
      <c r="M75" s="485"/>
      <c r="N75" s="486" t="s">
        <v>1205</v>
      </c>
      <c r="O75" s="487">
        <v>2</v>
      </c>
      <c r="P75" s="485"/>
      <c r="Q75" s="485"/>
      <c r="R75" s="485"/>
      <c r="S75" s="485"/>
      <c r="T75" s="485"/>
      <c r="U75" s="486"/>
      <c r="V75" s="486"/>
      <c r="W75" s="484"/>
      <c r="X75" s="485"/>
      <c r="Y75" s="485"/>
      <c r="Z75" s="485"/>
      <c r="AA75" s="485"/>
      <c r="AB75" s="486"/>
      <c r="AC75" s="487"/>
      <c r="AD75" s="486" t="s">
        <v>1206</v>
      </c>
      <c r="AE75" s="458">
        <f t="shared" si="7"/>
        <v>25</v>
      </c>
      <c r="AF75">
        <f t="shared" si="8"/>
        <v>35</v>
      </c>
      <c r="AG75" t="str">
        <f t="shared" si="9"/>
        <v/>
      </c>
      <c r="AH75" t="str">
        <f t="shared" si="10"/>
        <v/>
      </c>
      <c r="AI75" s="488">
        <v>100</v>
      </c>
      <c r="AJ75" s="490">
        <v>60</v>
      </c>
      <c r="AK75" s="490" t="s">
        <v>1207</v>
      </c>
    </row>
    <row r="76" spans="1:37" x14ac:dyDescent="0.25">
      <c r="A76" s="483" t="s">
        <v>170</v>
      </c>
      <c r="B76" s="484"/>
      <c r="C76" s="485"/>
      <c r="D76" s="485"/>
      <c r="E76" s="485"/>
      <c r="F76" s="485"/>
      <c r="G76" s="486" t="s">
        <v>1208</v>
      </c>
      <c r="H76" s="487">
        <v>3</v>
      </c>
      <c r="I76" s="484"/>
      <c r="J76" s="485"/>
      <c r="K76" s="485"/>
      <c r="L76" s="485"/>
      <c r="M76" s="485"/>
      <c r="N76" s="486"/>
      <c r="O76" s="487">
        <v>3</v>
      </c>
      <c r="P76" s="485"/>
      <c r="Q76" s="485"/>
      <c r="R76" s="485"/>
      <c r="S76" s="485"/>
      <c r="T76" s="485"/>
      <c r="U76" s="486"/>
      <c r="V76" s="486"/>
      <c r="W76" s="484"/>
      <c r="X76" s="485"/>
      <c r="Y76" s="485"/>
      <c r="Z76" s="485"/>
      <c r="AA76" s="485"/>
      <c r="AB76" s="486"/>
      <c r="AC76" s="487"/>
      <c r="AD76" s="486" t="s">
        <v>1206</v>
      </c>
      <c r="AE76" s="458">
        <f t="shared" si="7"/>
        <v>35</v>
      </c>
      <c r="AF76" t="str">
        <f t="shared" si="8"/>
        <v/>
      </c>
      <c r="AG76" t="str">
        <f t="shared" si="9"/>
        <v/>
      </c>
      <c r="AH76" t="str">
        <f t="shared" si="10"/>
        <v/>
      </c>
      <c r="AI76" s="488"/>
      <c r="AJ76" s="490">
        <v>61</v>
      </c>
      <c r="AK76" s="490" t="s">
        <v>1207</v>
      </c>
    </row>
    <row r="77" spans="1:37" x14ac:dyDescent="0.25">
      <c r="A77" s="483" t="s">
        <v>173</v>
      </c>
      <c r="B77" s="484" t="s">
        <v>66</v>
      </c>
      <c r="C77" s="485" t="s">
        <v>66</v>
      </c>
      <c r="D77" s="485" t="s">
        <v>66</v>
      </c>
      <c r="E77" s="485"/>
      <c r="F77" s="485"/>
      <c r="G77" s="486" t="s">
        <v>1212</v>
      </c>
      <c r="H77" s="487">
        <v>2</v>
      </c>
      <c r="I77" s="484" t="s">
        <v>66</v>
      </c>
      <c r="J77" s="485"/>
      <c r="K77" s="485" t="s">
        <v>66</v>
      </c>
      <c r="L77" s="485"/>
      <c r="M77" s="485"/>
      <c r="N77" s="486" t="s">
        <v>1212</v>
      </c>
      <c r="O77" s="487">
        <v>1</v>
      </c>
      <c r="P77" s="485" t="s">
        <v>66</v>
      </c>
      <c r="Q77" s="485" t="s">
        <v>66</v>
      </c>
      <c r="R77" s="485" t="s">
        <v>56</v>
      </c>
      <c r="S77" s="485"/>
      <c r="T77" s="485"/>
      <c r="U77" s="486" t="s">
        <v>1212</v>
      </c>
      <c r="V77" s="486">
        <v>1</v>
      </c>
      <c r="W77" s="484"/>
      <c r="X77" s="485"/>
      <c r="Y77" s="485"/>
      <c r="Z77" s="485"/>
      <c r="AA77" s="485"/>
      <c r="AB77" s="486"/>
      <c r="AC77" s="487"/>
      <c r="AD77" s="486" t="s">
        <v>1206</v>
      </c>
      <c r="AE77" s="458">
        <f t="shared" si="7"/>
        <v>25</v>
      </c>
      <c r="AF77">
        <f t="shared" si="8"/>
        <v>25</v>
      </c>
      <c r="AG77">
        <f t="shared" si="9"/>
        <v>30</v>
      </c>
      <c r="AH77" t="str">
        <f t="shared" si="10"/>
        <v/>
      </c>
      <c r="AI77" s="488"/>
      <c r="AJ77" s="490">
        <v>307</v>
      </c>
      <c r="AK77" s="490" t="s">
        <v>1207</v>
      </c>
    </row>
    <row r="78" spans="1:37" x14ac:dyDescent="0.25">
      <c r="A78" s="483" t="s">
        <v>176</v>
      </c>
      <c r="B78" s="484"/>
      <c r="C78" s="485"/>
      <c r="D78" s="485"/>
      <c r="E78" s="485"/>
      <c r="F78" s="485"/>
      <c r="G78" s="486"/>
      <c r="H78" s="487">
        <v>3</v>
      </c>
      <c r="I78" s="484"/>
      <c r="J78" s="485"/>
      <c r="K78" s="485"/>
      <c r="L78" s="485"/>
      <c r="M78" s="485"/>
      <c r="N78" s="486"/>
      <c r="O78" s="487"/>
      <c r="P78" s="485"/>
      <c r="Q78" s="485"/>
      <c r="R78" s="485"/>
      <c r="S78" s="485"/>
      <c r="T78" s="485"/>
      <c r="U78" s="486"/>
      <c r="V78" s="486"/>
      <c r="W78" s="484"/>
      <c r="X78" s="485"/>
      <c r="Y78" s="485"/>
      <c r="Z78" s="485"/>
      <c r="AA78" s="485"/>
      <c r="AB78" s="486"/>
      <c r="AC78" s="487"/>
      <c r="AD78" s="486" t="s">
        <v>1206</v>
      </c>
      <c r="AE78" s="458" t="str">
        <f t="shared" si="7"/>
        <v/>
      </c>
      <c r="AF78" t="str">
        <f t="shared" si="8"/>
        <v/>
      </c>
      <c r="AG78" t="str">
        <f t="shared" si="9"/>
        <v/>
      </c>
      <c r="AH78" t="str">
        <f t="shared" si="10"/>
        <v/>
      </c>
      <c r="AI78" s="488"/>
      <c r="AJ78" s="489"/>
      <c r="AK78" s="490" t="s">
        <v>1207</v>
      </c>
    </row>
    <row r="79" spans="1:37" x14ac:dyDescent="0.25">
      <c r="A79" s="483" t="s">
        <v>179</v>
      </c>
      <c r="B79" s="484"/>
      <c r="C79" s="485"/>
      <c r="D79" s="485"/>
      <c r="E79" s="485"/>
      <c r="F79" s="485"/>
      <c r="G79" s="486"/>
      <c r="H79" s="487">
        <v>1</v>
      </c>
      <c r="I79" s="484"/>
      <c r="J79" s="485"/>
      <c r="K79" s="485"/>
      <c r="L79" s="485"/>
      <c r="M79" s="485"/>
      <c r="N79" s="486"/>
      <c r="O79" s="487"/>
      <c r="P79" s="485"/>
      <c r="Q79" s="485"/>
      <c r="R79" s="485"/>
      <c r="S79" s="485"/>
      <c r="T79" s="485"/>
      <c r="U79" s="486"/>
      <c r="V79" s="486"/>
      <c r="W79" s="484"/>
      <c r="X79" s="485"/>
      <c r="Y79" s="485"/>
      <c r="Z79" s="485"/>
      <c r="AA79" s="485"/>
      <c r="AB79" s="486"/>
      <c r="AC79" s="487"/>
      <c r="AD79" s="486" t="s">
        <v>1206</v>
      </c>
      <c r="AE79" s="458" t="str">
        <f t="shared" si="7"/>
        <v/>
      </c>
      <c r="AF79" t="str">
        <f t="shared" si="8"/>
        <v/>
      </c>
      <c r="AG79" t="str">
        <f t="shared" si="9"/>
        <v/>
      </c>
      <c r="AH79" t="str">
        <f t="shared" si="10"/>
        <v/>
      </c>
      <c r="AI79" s="488"/>
      <c r="AJ79" s="489"/>
      <c r="AK79" s="490" t="s">
        <v>1207</v>
      </c>
    </row>
    <row r="80" spans="1:37" x14ac:dyDescent="0.25">
      <c r="A80" s="483" t="s">
        <v>182</v>
      </c>
      <c r="B80" s="484" t="s">
        <v>66</v>
      </c>
      <c r="C80" s="485" t="s">
        <v>66</v>
      </c>
      <c r="D80" s="485" t="s">
        <v>66</v>
      </c>
      <c r="E80" s="485"/>
      <c r="F80" s="485"/>
      <c r="G80" s="486" t="s">
        <v>1208</v>
      </c>
      <c r="H80" s="487">
        <v>2</v>
      </c>
      <c r="I80" s="484"/>
      <c r="J80" s="485"/>
      <c r="K80" s="485"/>
      <c r="L80" s="485"/>
      <c r="M80" s="485"/>
      <c r="N80" s="486" t="s">
        <v>1208</v>
      </c>
      <c r="O80" s="487">
        <v>1</v>
      </c>
      <c r="P80" s="485"/>
      <c r="Q80" s="485"/>
      <c r="R80" s="485"/>
      <c r="S80" s="485"/>
      <c r="T80" s="485"/>
      <c r="U80" s="486"/>
      <c r="V80" s="486"/>
      <c r="W80" s="484"/>
      <c r="X80" s="485"/>
      <c r="Y80" s="485"/>
      <c r="Z80" s="485"/>
      <c r="AA80" s="485"/>
      <c r="AB80" s="486"/>
      <c r="AC80" s="487"/>
      <c r="AD80" s="486" t="s">
        <v>1206</v>
      </c>
      <c r="AE80" s="458">
        <f t="shared" si="7"/>
        <v>35</v>
      </c>
      <c r="AF80">
        <f t="shared" si="8"/>
        <v>35</v>
      </c>
      <c r="AG80" t="str">
        <f t="shared" si="9"/>
        <v/>
      </c>
      <c r="AH80" t="str">
        <f t="shared" si="10"/>
        <v/>
      </c>
      <c r="AI80" s="488">
        <v>400</v>
      </c>
      <c r="AJ80" s="489"/>
      <c r="AK80" s="490" t="s">
        <v>1207</v>
      </c>
    </row>
    <row r="81" spans="1:37" x14ac:dyDescent="0.25">
      <c r="A81" s="483" t="s">
        <v>185</v>
      </c>
      <c r="B81" s="484" t="s">
        <v>66</v>
      </c>
      <c r="C81" s="485" t="s">
        <v>66</v>
      </c>
      <c r="D81" s="485" t="s">
        <v>66</v>
      </c>
      <c r="E81" s="485"/>
      <c r="F81" s="485"/>
      <c r="G81" s="486" t="s">
        <v>1205</v>
      </c>
      <c r="H81" s="487">
        <v>3</v>
      </c>
      <c r="I81" s="484"/>
      <c r="J81" s="485"/>
      <c r="K81" s="485"/>
      <c r="L81" s="485"/>
      <c r="M81" s="485"/>
      <c r="N81" s="486" t="s">
        <v>1209</v>
      </c>
      <c r="O81" s="487"/>
      <c r="P81" s="485"/>
      <c r="Q81" s="485"/>
      <c r="R81" s="485"/>
      <c r="S81" s="485"/>
      <c r="T81" s="485"/>
      <c r="U81" s="486"/>
      <c r="V81" s="486"/>
      <c r="W81" s="484"/>
      <c r="X81" s="485"/>
      <c r="Y81" s="485"/>
      <c r="Z81" s="485"/>
      <c r="AA81" s="485"/>
      <c r="AB81" s="486"/>
      <c r="AC81" s="487"/>
      <c r="AD81" s="486" t="s">
        <v>1206</v>
      </c>
      <c r="AE81" s="458">
        <f t="shared" si="7"/>
        <v>35</v>
      </c>
      <c r="AF81">
        <f t="shared" si="8"/>
        <v>55</v>
      </c>
      <c r="AG81" t="str">
        <f t="shared" si="9"/>
        <v/>
      </c>
      <c r="AH81" t="str">
        <f t="shared" si="10"/>
        <v/>
      </c>
      <c r="AI81" s="488">
        <v>500</v>
      </c>
      <c r="AJ81" s="489"/>
      <c r="AK81" s="490" t="s">
        <v>1207</v>
      </c>
    </row>
    <row r="82" spans="1:37" x14ac:dyDescent="0.25">
      <c r="A82" s="483" t="s">
        <v>188</v>
      </c>
      <c r="B82" s="484" t="s">
        <v>66</v>
      </c>
      <c r="C82" s="485"/>
      <c r="D82" s="485" t="s">
        <v>66</v>
      </c>
      <c r="E82" s="485"/>
      <c r="F82" s="485"/>
      <c r="G82" s="486" t="s">
        <v>1205</v>
      </c>
      <c r="H82" s="487">
        <v>2</v>
      </c>
      <c r="I82" s="484"/>
      <c r="J82" s="485"/>
      <c r="K82" s="485"/>
      <c r="L82" s="485"/>
      <c r="M82" s="485"/>
      <c r="N82" s="486" t="s">
        <v>1205</v>
      </c>
      <c r="O82" s="487">
        <v>2</v>
      </c>
      <c r="P82" s="485"/>
      <c r="Q82" s="485"/>
      <c r="R82" s="485"/>
      <c r="S82" s="485"/>
      <c r="T82" s="485"/>
      <c r="U82" s="486"/>
      <c r="V82" s="486"/>
      <c r="W82" s="484"/>
      <c r="X82" s="485"/>
      <c r="Y82" s="485"/>
      <c r="Z82" s="485"/>
      <c r="AA82" s="485"/>
      <c r="AB82" s="486"/>
      <c r="AC82" s="487"/>
      <c r="AD82" s="486" t="s">
        <v>1206</v>
      </c>
      <c r="AE82" s="458">
        <f t="shared" si="7"/>
        <v>35</v>
      </c>
      <c r="AF82">
        <f t="shared" si="8"/>
        <v>35</v>
      </c>
      <c r="AG82" t="str">
        <f t="shared" si="9"/>
        <v/>
      </c>
      <c r="AH82" t="str">
        <f t="shared" si="10"/>
        <v/>
      </c>
      <c r="AI82" s="488">
        <v>500</v>
      </c>
      <c r="AJ82" s="490">
        <v>62</v>
      </c>
      <c r="AK82" s="490" t="s">
        <v>1207</v>
      </c>
    </row>
    <row r="83" spans="1:37" x14ac:dyDescent="0.25">
      <c r="A83" s="483" t="s">
        <v>191</v>
      </c>
      <c r="B83" s="484"/>
      <c r="C83" s="485"/>
      <c r="D83" s="485"/>
      <c r="E83" s="485"/>
      <c r="F83" s="485"/>
      <c r="G83" s="486" t="s">
        <v>1205</v>
      </c>
      <c r="H83" s="487">
        <v>2</v>
      </c>
      <c r="I83" s="484"/>
      <c r="J83" s="485"/>
      <c r="K83" s="485"/>
      <c r="L83" s="485"/>
      <c r="M83" s="485"/>
      <c r="N83" s="486"/>
      <c r="O83" s="487"/>
      <c r="P83" s="485"/>
      <c r="Q83" s="485"/>
      <c r="R83" s="485"/>
      <c r="S83" s="485"/>
      <c r="T83" s="485"/>
      <c r="U83" s="486"/>
      <c r="V83" s="486"/>
      <c r="W83" s="484"/>
      <c r="X83" s="485"/>
      <c r="Y83" s="485"/>
      <c r="Z83" s="485"/>
      <c r="AA83" s="485"/>
      <c r="AB83" s="486"/>
      <c r="AC83" s="487"/>
      <c r="AD83" s="486" t="s">
        <v>1206</v>
      </c>
      <c r="AE83" s="458">
        <f t="shared" ref="AE83:AE115" si="11">IF(G83="S",25,IF(G83="M",35,IF(G83="L",55,"")))</f>
        <v>35</v>
      </c>
      <c r="AF83" t="str">
        <f t="shared" ref="AF83:AF115" si="12">IF(N83="S",25,IF(N83="M",35,IF(N83="L",55,"")))</f>
        <v/>
      </c>
      <c r="AG83" t="str">
        <f t="shared" ref="AG83:AG115" si="13">IF(U83="S",30,IF(U83="M",45,IF(U83="L",60,"")))</f>
        <v/>
      </c>
      <c r="AH83" t="str">
        <f t="shared" ref="AH83:AH115" si="14">IF(AB83="S",30,IF(AB83="M",45,IF(AB83="L",60,"")))</f>
        <v/>
      </c>
      <c r="AI83" s="488"/>
      <c r="AJ83" s="490">
        <v>63</v>
      </c>
      <c r="AK83" s="490" t="s">
        <v>1207</v>
      </c>
    </row>
    <row r="84" spans="1:37" x14ac:dyDescent="0.25">
      <c r="A84" s="483" t="s">
        <v>194</v>
      </c>
      <c r="B84" s="484"/>
      <c r="C84" s="485"/>
      <c r="D84" s="485"/>
      <c r="E84" s="485"/>
      <c r="F84" s="485"/>
      <c r="G84" s="486"/>
      <c r="H84" s="487">
        <v>1</v>
      </c>
      <c r="I84" s="484"/>
      <c r="J84" s="485"/>
      <c r="K84" s="485"/>
      <c r="L84" s="485"/>
      <c r="M84" s="485"/>
      <c r="N84" s="486" t="s">
        <v>1205</v>
      </c>
      <c r="O84" s="487">
        <v>1</v>
      </c>
      <c r="P84" s="485"/>
      <c r="Q84" s="485"/>
      <c r="R84" s="485"/>
      <c r="S84" s="485"/>
      <c r="T84" s="485"/>
      <c r="U84" s="486"/>
      <c r="V84" s="486"/>
      <c r="W84" s="484"/>
      <c r="X84" s="485"/>
      <c r="Y84" s="485"/>
      <c r="Z84" s="485"/>
      <c r="AA84" s="485"/>
      <c r="AB84" s="486"/>
      <c r="AC84" s="487"/>
      <c r="AD84" s="486" t="s">
        <v>1206</v>
      </c>
      <c r="AE84" s="458" t="str">
        <f t="shared" si="11"/>
        <v/>
      </c>
      <c r="AF84">
        <f t="shared" si="12"/>
        <v>35</v>
      </c>
      <c r="AG84" t="str">
        <f t="shared" si="13"/>
        <v/>
      </c>
      <c r="AH84" t="str">
        <f t="shared" si="14"/>
        <v/>
      </c>
      <c r="AI84" s="488"/>
      <c r="AJ84" s="490">
        <v>130</v>
      </c>
      <c r="AK84" s="490" t="s">
        <v>1207</v>
      </c>
    </row>
    <row r="85" spans="1:37" x14ac:dyDescent="0.25">
      <c r="A85" s="483" t="s">
        <v>648</v>
      </c>
      <c r="B85" s="491"/>
      <c r="C85" s="492"/>
      <c r="D85" s="492"/>
      <c r="E85" s="492"/>
      <c r="F85" s="492"/>
      <c r="G85" s="493"/>
      <c r="H85" s="494"/>
      <c r="I85" s="484"/>
      <c r="J85" s="485"/>
      <c r="K85" s="485"/>
      <c r="L85" s="485"/>
      <c r="M85" s="485"/>
      <c r="N85" s="486" t="s">
        <v>1205</v>
      </c>
      <c r="O85" s="487">
        <v>2</v>
      </c>
      <c r="P85" s="485"/>
      <c r="Q85" s="485"/>
      <c r="R85" s="485"/>
      <c r="S85" s="485"/>
      <c r="T85" s="485"/>
      <c r="U85" s="486"/>
      <c r="V85" s="486"/>
      <c r="W85" s="484"/>
      <c r="X85" s="485"/>
      <c r="Y85" s="485"/>
      <c r="Z85" s="485"/>
      <c r="AA85" s="485"/>
      <c r="AB85" s="486"/>
      <c r="AC85" s="487"/>
      <c r="AD85" s="486"/>
      <c r="AE85" s="458" t="str">
        <f t="shared" si="11"/>
        <v/>
      </c>
      <c r="AF85">
        <f t="shared" si="12"/>
        <v>35</v>
      </c>
      <c r="AG85" t="str">
        <f t="shared" si="13"/>
        <v/>
      </c>
      <c r="AH85" t="str">
        <f t="shared" si="14"/>
        <v/>
      </c>
      <c r="AI85" s="488"/>
      <c r="AJ85" s="490"/>
      <c r="AK85" s="490"/>
    </row>
    <row r="86" spans="1:37" x14ac:dyDescent="0.25">
      <c r="A86" s="483" t="s">
        <v>197</v>
      </c>
      <c r="B86" s="484"/>
      <c r="C86" s="485"/>
      <c r="D86" s="485"/>
      <c r="E86" s="485"/>
      <c r="F86" s="485"/>
      <c r="G86" s="486" t="s">
        <v>1205</v>
      </c>
      <c r="H86" s="487">
        <v>3</v>
      </c>
      <c r="I86" s="484" t="s">
        <v>66</v>
      </c>
      <c r="J86" s="485"/>
      <c r="K86" s="485" t="s">
        <v>56</v>
      </c>
      <c r="L86" s="485"/>
      <c r="M86" s="485"/>
      <c r="N86" s="486" t="s">
        <v>1205</v>
      </c>
      <c r="O86" s="487">
        <v>2</v>
      </c>
      <c r="P86" s="485" t="s">
        <v>66</v>
      </c>
      <c r="Q86" s="485"/>
      <c r="R86" s="485" t="s">
        <v>56</v>
      </c>
      <c r="S86" s="485" t="s">
        <v>56</v>
      </c>
      <c r="T86" s="485"/>
      <c r="U86" s="486" t="s">
        <v>1205</v>
      </c>
      <c r="V86" s="486">
        <v>2</v>
      </c>
      <c r="W86" s="484"/>
      <c r="X86" s="485"/>
      <c r="Y86" s="485"/>
      <c r="Z86" s="485"/>
      <c r="AA86" s="485"/>
      <c r="AB86" s="486"/>
      <c r="AC86" s="487"/>
      <c r="AD86" s="486" t="s">
        <v>1206</v>
      </c>
      <c r="AE86" s="458">
        <f t="shared" si="11"/>
        <v>35</v>
      </c>
      <c r="AF86">
        <f t="shared" si="12"/>
        <v>35</v>
      </c>
      <c r="AG86">
        <f t="shared" si="13"/>
        <v>45</v>
      </c>
      <c r="AH86" t="str">
        <f t="shared" si="14"/>
        <v/>
      </c>
      <c r="AI86" s="488"/>
      <c r="AJ86" s="490">
        <v>413</v>
      </c>
      <c r="AK86" s="490" t="s">
        <v>1207</v>
      </c>
    </row>
    <row r="87" spans="1:37" x14ac:dyDescent="0.25">
      <c r="A87" s="483" t="s">
        <v>651</v>
      </c>
      <c r="B87" s="491"/>
      <c r="C87" s="492"/>
      <c r="D87" s="492"/>
      <c r="E87" s="492"/>
      <c r="F87" s="492"/>
      <c r="G87" s="493"/>
      <c r="H87" s="494"/>
      <c r="I87" s="484"/>
      <c r="J87" s="485"/>
      <c r="K87" s="485"/>
      <c r="L87" s="485"/>
      <c r="M87" s="485"/>
      <c r="N87" s="486"/>
      <c r="O87" s="487">
        <v>2</v>
      </c>
      <c r="P87" s="485"/>
      <c r="Q87" s="485"/>
      <c r="R87" s="485"/>
      <c r="S87" s="485"/>
      <c r="T87" s="485"/>
      <c r="U87" s="486"/>
      <c r="V87" s="486"/>
      <c r="W87" s="484"/>
      <c r="X87" s="485"/>
      <c r="Y87" s="485"/>
      <c r="Z87" s="485"/>
      <c r="AA87" s="485"/>
      <c r="AB87" s="486"/>
      <c r="AC87" s="487"/>
      <c r="AD87" s="486"/>
      <c r="AE87" s="458" t="str">
        <f t="shared" si="11"/>
        <v/>
      </c>
      <c r="AF87" t="str">
        <f t="shared" si="12"/>
        <v/>
      </c>
      <c r="AG87" t="str">
        <f t="shared" si="13"/>
        <v/>
      </c>
      <c r="AH87" t="str">
        <f t="shared" si="14"/>
        <v/>
      </c>
      <c r="AI87" s="488"/>
      <c r="AJ87" s="490"/>
      <c r="AK87" s="490"/>
    </row>
    <row r="88" spans="1:37" x14ac:dyDescent="0.25">
      <c r="A88" s="483" t="s">
        <v>653</v>
      </c>
      <c r="B88" s="491"/>
      <c r="C88" s="492"/>
      <c r="D88" s="492"/>
      <c r="E88" s="492"/>
      <c r="F88" s="492"/>
      <c r="G88" s="493"/>
      <c r="H88" s="494"/>
      <c r="I88" s="484"/>
      <c r="J88" s="485"/>
      <c r="K88" s="485"/>
      <c r="L88" s="485"/>
      <c r="M88" s="485"/>
      <c r="N88" s="486"/>
      <c r="O88" s="487">
        <v>2</v>
      </c>
      <c r="P88" s="485"/>
      <c r="Q88" s="485"/>
      <c r="R88" s="485"/>
      <c r="S88" s="485"/>
      <c r="T88" s="485"/>
      <c r="U88" s="486"/>
      <c r="V88" s="486"/>
      <c r="W88" s="484"/>
      <c r="X88" s="485"/>
      <c r="Y88" s="485"/>
      <c r="Z88" s="485"/>
      <c r="AA88" s="485"/>
      <c r="AB88" s="486"/>
      <c r="AC88" s="487"/>
      <c r="AD88" s="486"/>
      <c r="AE88" s="458" t="str">
        <f t="shared" si="11"/>
        <v/>
      </c>
      <c r="AF88" t="str">
        <f t="shared" si="12"/>
        <v/>
      </c>
      <c r="AG88" t="str">
        <f t="shared" si="13"/>
        <v/>
      </c>
      <c r="AH88" t="str">
        <f t="shared" si="14"/>
        <v/>
      </c>
      <c r="AI88" s="488"/>
      <c r="AJ88" s="490"/>
      <c r="AK88" s="490"/>
    </row>
    <row r="89" spans="1:37" x14ac:dyDescent="0.25">
      <c r="A89" s="483" t="s">
        <v>655</v>
      </c>
      <c r="B89" s="491"/>
      <c r="C89" s="492"/>
      <c r="D89" s="492"/>
      <c r="E89" s="492"/>
      <c r="F89" s="492"/>
      <c r="G89" s="493"/>
      <c r="H89" s="494"/>
      <c r="I89" s="484"/>
      <c r="J89" s="485"/>
      <c r="K89" s="485"/>
      <c r="L89" s="485"/>
      <c r="M89" s="485"/>
      <c r="N89" s="486"/>
      <c r="O89" s="487">
        <v>2</v>
      </c>
      <c r="P89" s="485"/>
      <c r="Q89" s="485"/>
      <c r="R89" s="485"/>
      <c r="S89" s="485"/>
      <c r="T89" s="485"/>
      <c r="U89" s="486"/>
      <c r="V89" s="486"/>
      <c r="W89" s="484"/>
      <c r="X89" s="485"/>
      <c r="Y89" s="485"/>
      <c r="Z89" s="485"/>
      <c r="AA89" s="485"/>
      <c r="AB89" s="486"/>
      <c r="AC89" s="487"/>
      <c r="AD89" s="486"/>
      <c r="AE89" s="458" t="str">
        <f t="shared" si="11"/>
        <v/>
      </c>
      <c r="AF89" t="str">
        <f t="shared" si="12"/>
        <v/>
      </c>
      <c r="AG89" t="str">
        <f t="shared" si="13"/>
        <v/>
      </c>
      <c r="AH89" t="str">
        <f t="shared" si="14"/>
        <v/>
      </c>
      <c r="AI89" s="488"/>
      <c r="AJ89" s="490"/>
      <c r="AK89" s="490"/>
    </row>
    <row r="90" spans="1:37" x14ac:dyDescent="0.25">
      <c r="A90" s="483" t="s">
        <v>657</v>
      </c>
      <c r="B90" s="491"/>
      <c r="C90" s="492"/>
      <c r="D90" s="492"/>
      <c r="E90" s="492"/>
      <c r="F90" s="492"/>
      <c r="G90" s="493"/>
      <c r="H90" s="494"/>
      <c r="I90" s="484"/>
      <c r="J90" s="485"/>
      <c r="K90" s="485"/>
      <c r="L90" s="485"/>
      <c r="M90" s="485"/>
      <c r="N90" s="486"/>
      <c r="O90" s="487">
        <v>2</v>
      </c>
      <c r="P90" s="485"/>
      <c r="Q90" s="485"/>
      <c r="R90" s="485"/>
      <c r="S90" s="485"/>
      <c r="T90" s="485"/>
      <c r="U90" s="486"/>
      <c r="V90" s="486"/>
      <c r="W90" s="484"/>
      <c r="X90" s="485"/>
      <c r="Y90" s="485"/>
      <c r="Z90" s="485"/>
      <c r="AA90" s="485"/>
      <c r="AB90" s="486"/>
      <c r="AC90" s="487"/>
      <c r="AD90" s="486"/>
      <c r="AE90" s="458" t="str">
        <f t="shared" si="11"/>
        <v/>
      </c>
      <c r="AF90" t="str">
        <f t="shared" si="12"/>
        <v/>
      </c>
      <c r="AG90" t="str">
        <f t="shared" si="13"/>
        <v/>
      </c>
      <c r="AH90" t="str">
        <f t="shared" si="14"/>
        <v/>
      </c>
      <c r="AI90" s="488"/>
      <c r="AJ90" s="490"/>
      <c r="AK90" s="490"/>
    </row>
    <row r="91" spans="1:37" x14ac:dyDescent="0.25">
      <c r="A91" s="483" t="s">
        <v>659</v>
      </c>
      <c r="B91" s="491"/>
      <c r="C91" s="492"/>
      <c r="D91" s="492"/>
      <c r="E91" s="492"/>
      <c r="F91" s="492"/>
      <c r="G91" s="493"/>
      <c r="H91" s="494"/>
      <c r="I91" s="484"/>
      <c r="J91" s="485"/>
      <c r="K91" s="485"/>
      <c r="L91" s="485"/>
      <c r="M91" s="485"/>
      <c r="N91" s="486"/>
      <c r="O91" s="487">
        <v>2</v>
      </c>
      <c r="P91" s="485"/>
      <c r="Q91" s="485"/>
      <c r="R91" s="485"/>
      <c r="S91" s="485"/>
      <c r="T91" s="485"/>
      <c r="U91" s="486"/>
      <c r="V91" s="486"/>
      <c r="W91" s="484"/>
      <c r="X91" s="485"/>
      <c r="Y91" s="485"/>
      <c r="Z91" s="485"/>
      <c r="AA91" s="485"/>
      <c r="AB91" s="486"/>
      <c r="AC91" s="487"/>
      <c r="AD91" s="486"/>
      <c r="AE91" s="458" t="str">
        <f t="shared" si="11"/>
        <v/>
      </c>
      <c r="AF91" t="str">
        <f t="shared" si="12"/>
        <v/>
      </c>
      <c r="AG91" t="str">
        <f t="shared" si="13"/>
        <v/>
      </c>
      <c r="AH91" t="str">
        <f t="shared" si="14"/>
        <v/>
      </c>
      <c r="AI91" s="488"/>
      <c r="AJ91" s="490"/>
      <c r="AK91" s="490"/>
    </row>
    <row r="92" spans="1:37" x14ac:dyDescent="0.25">
      <c r="A92" s="483" t="s">
        <v>661</v>
      </c>
      <c r="B92" s="491"/>
      <c r="C92" s="492"/>
      <c r="D92" s="492"/>
      <c r="E92" s="492"/>
      <c r="F92" s="492"/>
      <c r="G92" s="493"/>
      <c r="H92" s="494"/>
      <c r="I92" s="484"/>
      <c r="J92" s="485"/>
      <c r="K92" s="485"/>
      <c r="L92" s="485"/>
      <c r="M92" s="485"/>
      <c r="N92" s="486"/>
      <c r="O92" s="487">
        <v>2</v>
      </c>
      <c r="P92" s="485"/>
      <c r="Q92" s="485"/>
      <c r="R92" s="485"/>
      <c r="S92" s="485"/>
      <c r="T92" s="485"/>
      <c r="U92" s="486"/>
      <c r="V92" s="486"/>
      <c r="W92" s="484"/>
      <c r="X92" s="485"/>
      <c r="Y92" s="485"/>
      <c r="Z92" s="485"/>
      <c r="AA92" s="485"/>
      <c r="AB92" s="486"/>
      <c r="AC92" s="487"/>
      <c r="AD92" s="486"/>
      <c r="AE92" s="458" t="str">
        <f t="shared" si="11"/>
        <v/>
      </c>
      <c r="AF92" t="str">
        <f t="shared" si="12"/>
        <v/>
      </c>
      <c r="AG92" t="str">
        <f t="shared" si="13"/>
        <v/>
      </c>
      <c r="AH92" t="str">
        <f t="shared" si="14"/>
        <v/>
      </c>
      <c r="AI92" s="488"/>
      <c r="AJ92" s="490"/>
      <c r="AK92" s="490"/>
    </row>
    <row r="93" spans="1:37" x14ac:dyDescent="0.25">
      <c r="A93" s="483" t="s">
        <v>663</v>
      </c>
      <c r="B93" s="491"/>
      <c r="C93" s="492"/>
      <c r="D93" s="492"/>
      <c r="E93" s="492"/>
      <c r="F93" s="492"/>
      <c r="G93" s="493"/>
      <c r="H93" s="494"/>
      <c r="I93" s="484"/>
      <c r="J93" s="485"/>
      <c r="K93" s="485"/>
      <c r="L93" s="485"/>
      <c r="M93" s="485"/>
      <c r="N93" s="486"/>
      <c r="O93" s="487">
        <v>2</v>
      </c>
      <c r="P93" s="485"/>
      <c r="Q93" s="485"/>
      <c r="R93" s="485"/>
      <c r="S93" s="485"/>
      <c r="T93" s="485"/>
      <c r="U93" s="486"/>
      <c r="V93" s="486"/>
      <c r="W93" s="484"/>
      <c r="X93" s="485"/>
      <c r="Y93" s="485"/>
      <c r="Z93" s="485"/>
      <c r="AA93" s="485"/>
      <c r="AB93" s="486"/>
      <c r="AC93" s="487"/>
      <c r="AD93" s="486"/>
      <c r="AE93" s="458" t="str">
        <f t="shared" si="11"/>
        <v/>
      </c>
      <c r="AF93" t="str">
        <f t="shared" si="12"/>
        <v/>
      </c>
      <c r="AG93" t="str">
        <f t="shared" si="13"/>
        <v/>
      </c>
      <c r="AH93" t="str">
        <f t="shared" si="14"/>
        <v/>
      </c>
      <c r="AI93" s="488"/>
      <c r="AJ93" s="490"/>
      <c r="AK93" s="490"/>
    </row>
    <row r="94" spans="1:37" x14ac:dyDescent="0.25">
      <c r="A94" s="483" t="s">
        <v>665</v>
      </c>
      <c r="B94" s="491"/>
      <c r="C94" s="492"/>
      <c r="D94" s="492"/>
      <c r="E94" s="492"/>
      <c r="F94" s="492"/>
      <c r="G94" s="493"/>
      <c r="H94" s="494"/>
      <c r="I94" s="484"/>
      <c r="J94" s="485"/>
      <c r="K94" s="485"/>
      <c r="L94" s="485"/>
      <c r="M94" s="485"/>
      <c r="N94" s="486"/>
      <c r="O94" s="487">
        <v>2</v>
      </c>
      <c r="P94" s="485"/>
      <c r="Q94" s="485"/>
      <c r="R94" s="485"/>
      <c r="S94" s="485"/>
      <c r="T94" s="485"/>
      <c r="U94" s="486"/>
      <c r="V94" s="486"/>
      <c r="W94" s="484"/>
      <c r="X94" s="485"/>
      <c r="Y94" s="485"/>
      <c r="Z94" s="485"/>
      <c r="AA94" s="485"/>
      <c r="AB94" s="486"/>
      <c r="AC94" s="487"/>
      <c r="AD94" s="486"/>
      <c r="AE94" s="458" t="str">
        <f t="shared" si="11"/>
        <v/>
      </c>
      <c r="AF94" t="str">
        <f t="shared" si="12"/>
        <v/>
      </c>
      <c r="AG94" t="str">
        <f t="shared" si="13"/>
        <v/>
      </c>
      <c r="AH94" t="str">
        <f t="shared" si="14"/>
        <v/>
      </c>
      <c r="AI94" s="488"/>
      <c r="AJ94" s="490"/>
      <c r="AK94" s="490"/>
    </row>
    <row r="95" spans="1:37" x14ac:dyDescent="0.25">
      <c r="A95" s="483" t="s">
        <v>667</v>
      </c>
      <c r="B95" s="491"/>
      <c r="C95" s="492"/>
      <c r="D95" s="492"/>
      <c r="E95" s="492"/>
      <c r="F95" s="492"/>
      <c r="G95" s="493"/>
      <c r="H95" s="494"/>
      <c r="I95" s="484"/>
      <c r="J95" s="485"/>
      <c r="K95" s="485"/>
      <c r="L95" s="485"/>
      <c r="M95" s="485"/>
      <c r="N95" s="486"/>
      <c r="O95" s="487">
        <v>2</v>
      </c>
      <c r="P95" s="485"/>
      <c r="Q95" s="485"/>
      <c r="R95" s="485"/>
      <c r="S95" s="485"/>
      <c r="T95" s="485"/>
      <c r="U95" s="486"/>
      <c r="V95" s="486"/>
      <c r="W95" s="484"/>
      <c r="X95" s="485"/>
      <c r="Y95" s="485"/>
      <c r="Z95" s="485"/>
      <c r="AA95" s="485"/>
      <c r="AB95" s="486"/>
      <c r="AC95" s="487"/>
      <c r="AD95" s="486"/>
      <c r="AE95" s="458" t="str">
        <f t="shared" si="11"/>
        <v/>
      </c>
      <c r="AF95" t="str">
        <f t="shared" si="12"/>
        <v/>
      </c>
      <c r="AG95" t="str">
        <f t="shared" si="13"/>
        <v/>
      </c>
      <c r="AH95" t="str">
        <f t="shared" si="14"/>
        <v/>
      </c>
      <c r="AI95" s="488"/>
      <c r="AJ95" s="490"/>
      <c r="AK95" s="490"/>
    </row>
    <row r="96" spans="1:37" x14ac:dyDescent="0.25">
      <c r="A96" s="483" t="s">
        <v>669</v>
      </c>
      <c r="B96" s="491"/>
      <c r="C96" s="492"/>
      <c r="D96" s="492"/>
      <c r="E96" s="492"/>
      <c r="F96" s="492"/>
      <c r="G96" s="493"/>
      <c r="H96" s="494"/>
      <c r="I96" s="484"/>
      <c r="J96" s="485"/>
      <c r="K96" s="485"/>
      <c r="L96" s="485"/>
      <c r="M96" s="485"/>
      <c r="N96" s="486"/>
      <c r="O96" s="487">
        <v>2</v>
      </c>
      <c r="P96" s="485"/>
      <c r="Q96" s="485"/>
      <c r="R96" s="485"/>
      <c r="S96" s="485"/>
      <c r="T96" s="485"/>
      <c r="U96" s="486"/>
      <c r="V96" s="486"/>
      <c r="W96" s="484"/>
      <c r="X96" s="485"/>
      <c r="Y96" s="485"/>
      <c r="Z96" s="485"/>
      <c r="AA96" s="485"/>
      <c r="AB96" s="486"/>
      <c r="AC96" s="487"/>
      <c r="AD96" s="486"/>
      <c r="AE96" s="458" t="str">
        <f t="shared" si="11"/>
        <v/>
      </c>
      <c r="AF96" t="str">
        <f t="shared" si="12"/>
        <v/>
      </c>
      <c r="AG96" t="str">
        <f t="shared" si="13"/>
        <v/>
      </c>
      <c r="AH96" t="str">
        <f t="shared" si="14"/>
        <v/>
      </c>
      <c r="AI96" s="488"/>
      <c r="AJ96" s="490"/>
      <c r="AK96" s="490"/>
    </row>
    <row r="97" spans="1:37" x14ac:dyDescent="0.25">
      <c r="A97" s="483" t="s">
        <v>671</v>
      </c>
      <c r="B97" s="491"/>
      <c r="C97" s="492"/>
      <c r="D97" s="492"/>
      <c r="E97" s="492"/>
      <c r="F97" s="492"/>
      <c r="G97" s="493"/>
      <c r="H97" s="494"/>
      <c r="I97" s="484"/>
      <c r="J97" s="485"/>
      <c r="K97" s="485"/>
      <c r="L97" s="485"/>
      <c r="M97" s="485"/>
      <c r="N97" s="486" t="s">
        <v>1208</v>
      </c>
      <c r="O97" s="487">
        <v>2</v>
      </c>
      <c r="P97" s="485"/>
      <c r="Q97" s="485"/>
      <c r="R97" s="485"/>
      <c r="S97" s="485"/>
      <c r="T97" s="485"/>
      <c r="U97" s="486"/>
      <c r="V97" s="486"/>
      <c r="W97" s="484"/>
      <c r="X97" s="485"/>
      <c r="Y97" s="485"/>
      <c r="Z97" s="485"/>
      <c r="AA97" s="485"/>
      <c r="AB97" s="486"/>
      <c r="AC97" s="487"/>
      <c r="AD97" s="486"/>
      <c r="AE97" s="458" t="str">
        <f t="shared" si="11"/>
        <v/>
      </c>
      <c r="AF97">
        <f t="shared" si="12"/>
        <v>35</v>
      </c>
      <c r="AG97" t="str">
        <f t="shared" si="13"/>
        <v/>
      </c>
      <c r="AH97" t="str">
        <f t="shared" si="14"/>
        <v/>
      </c>
      <c r="AI97" s="488"/>
      <c r="AJ97" s="490"/>
      <c r="AK97" s="490"/>
    </row>
    <row r="98" spans="1:37" x14ac:dyDescent="0.25">
      <c r="A98" s="483" t="s">
        <v>673</v>
      </c>
      <c r="B98" s="491"/>
      <c r="C98" s="492"/>
      <c r="D98" s="492"/>
      <c r="E98" s="492"/>
      <c r="F98" s="492"/>
      <c r="G98" s="493"/>
      <c r="H98" s="494"/>
      <c r="I98" s="484"/>
      <c r="J98" s="485"/>
      <c r="K98" s="485"/>
      <c r="L98" s="485"/>
      <c r="M98" s="485"/>
      <c r="N98" s="486" t="s">
        <v>1208</v>
      </c>
      <c r="O98" s="487">
        <v>2</v>
      </c>
      <c r="P98" s="485"/>
      <c r="Q98" s="485"/>
      <c r="R98" s="485"/>
      <c r="S98" s="485"/>
      <c r="T98" s="485"/>
      <c r="U98" s="486"/>
      <c r="V98" s="486"/>
      <c r="W98" s="484"/>
      <c r="X98" s="485"/>
      <c r="Y98" s="485"/>
      <c r="Z98" s="485"/>
      <c r="AA98" s="485"/>
      <c r="AB98" s="486"/>
      <c r="AC98" s="487"/>
      <c r="AD98" s="486"/>
      <c r="AE98" s="458" t="str">
        <f t="shared" si="11"/>
        <v/>
      </c>
      <c r="AF98">
        <f t="shared" si="12"/>
        <v>35</v>
      </c>
      <c r="AG98" t="str">
        <f t="shared" si="13"/>
        <v/>
      </c>
      <c r="AH98" t="str">
        <f t="shared" si="14"/>
        <v/>
      </c>
      <c r="AI98" s="488"/>
      <c r="AJ98" s="490"/>
      <c r="AK98" s="490"/>
    </row>
    <row r="99" spans="1:37" x14ac:dyDescent="0.25">
      <c r="A99" s="483" t="s">
        <v>675</v>
      </c>
      <c r="B99" s="491"/>
      <c r="C99" s="492"/>
      <c r="D99" s="492"/>
      <c r="E99" s="492"/>
      <c r="F99" s="492"/>
      <c r="G99" s="493"/>
      <c r="H99" s="494"/>
      <c r="I99" s="484"/>
      <c r="J99" s="485"/>
      <c r="K99" s="485"/>
      <c r="L99" s="485"/>
      <c r="M99" s="485"/>
      <c r="N99" s="486"/>
      <c r="O99" s="487">
        <v>2</v>
      </c>
      <c r="P99" s="485"/>
      <c r="Q99" s="485"/>
      <c r="R99" s="485"/>
      <c r="S99" s="485"/>
      <c r="T99" s="485"/>
      <c r="U99" s="486"/>
      <c r="V99" s="486"/>
      <c r="W99" s="484"/>
      <c r="X99" s="485"/>
      <c r="Y99" s="485"/>
      <c r="Z99" s="485"/>
      <c r="AA99" s="485"/>
      <c r="AB99" s="486"/>
      <c r="AC99" s="487"/>
      <c r="AD99" s="486"/>
      <c r="AE99" s="458" t="str">
        <f t="shared" si="11"/>
        <v/>
      </c>
      <c r="AF99" t="str">
        <f t="shared" si="12"/>
        <v/>
      </c>
      <c r="AG99" t="str">
        <f t="shared" si="13"/>
        <v/>
      </c>
      <c r="AH99" t="str">
        <f t="shared" si="14"/>
        <v/>
      </c>
      <c r="AI99" s="488"/>
      <c r="AJ99" s="490"/>
      <c r="AK99" s="490"/>
    </row>
    <row r="100" spans="1:37" x14ac:dyDescent="0.25">
      <c r="A100" s="483" t="s">
        <v>677</v>
      </c>
      <c r="B100" s="491"/>
      <c r="C100" s="492"/>
      <c r="D100" s="492"/>
      <c r="E100" s="492"/>
      <c r="F100" s="492"/>
      <c r="G100" s="493"/>
      <c r="H100" s="494"/>
      <c r="I100" s="484"/>
      <c r="J100" s="485"/>
      <c r="K100" s="485"/>
      <c r="L100" s="485"/>
      <c r="M100" s="485"/>
      <c r="N100" s="486"/>
      <c r="O100" s="487">
        <v>2</v>
      </c>
      <c r="P100" s="485"/>
      <c r="Q100" s="485"/>
      <c r="R100" s="485"/>
      <c r="S100" s="485"/>
      <c r="T100" s="485"/>
      <c r="U100" s="486"/>
      <c r="V100" s="486"/>
      <c r="W100" s="484"/>
      <c r="X100" s="485"/>
      <c r="Y100" s="485"/>
      <c r="Z100" s="485"/>
      <c r="AA100" s="485"/>
      <c r="AB100" s="486"/>
      <c r="AC100" s="487"/>
      <c r="AD100" s="486"/>
      <c r="AE100" s="458" t="str">
        <f t="shared" si="11"/>
        <v/>
      </c>
      <c r="AF100" t="str">
        <f t="shared" si="12"/>
        <v/>
      </c>
      <c r="AG100" t="str">
        <f t="shared" si="13"/>
        <v/>
      </c>
      <c r="AH100" t="str">
        <f t="shared" si="14"/>
        <v/>
      </c>
      <c r="AI100" s="488"/>
      <c r="AJ100" s="490"/>
      <c r="AK100" s="490"/>
    </row>
    <row r="101" spans="1:37" x14ac:dyDescent="0.25">
      <c r="A101" s="483" t="s">
        <v>679</v>
      </c>
      <c r="B101" s="491"/>
      <c r="C101" s="492"/>
      <c r="D101" s="492"/>
      <c r="E101" s="492"/>
      <c r="F101" s="492"/>
      <c r="G101" s="493"/>
      <c r="H101" s="494"/>
      <c r="I101" s="484"/>
      <c r="J101" s="485"/>
      <c r="K101" s="485"/>
      <c r="L101" s="485"/>
      <c r="M101" s="485"/>
      <c r="N101" s="486"/>
      <c r="O101" s="487">
        <v>2</v>
      </c>
      <c r="P101" s="485"/>
      <c r="Q101" s="485"/>
      <c r="R101" s="485"/>
      <c r="S101" s="485"/>
      <c r="T101" s="485"/>
      <c r="U101" s="486"/>
      <c r="V101" s="486"/>
      <c r="W101" s="484"/>
      <c r="X101" s="485"/>
      <c r="Y101" s="485"/>
      <c r="Z101" s="485"/>
      <c r="AA101" s="485"/>
      <c r="AB101" s="486"/>
      <c r="AC101" s="487"/>
      <c r="AD101" s="486"/>
      <c r="AE101" s="458" t="str">
        <f t="shared" si="11"/>
        <v/>
      </c>
      <c r="AF101" t="str">
        <f t="shared" si="12"/>
        <v/>
      </c>
      <c r="AG101" t="str">
        <f t="shared" si="13"/>
        <v/>
      </c>
      <c r="AH101" t="str">
        <f t="shared" si="14"/>
        <v/>
      </c>
      <c r="AI101" s="488"/>
      <c r="AJ101" s="490"/>
      <c r="AK101" s="490"/>
    </row>
    <row r="102" spans="1:37" x14ac:dyDescent="0.25">
      <c r="A102" s="483" t="s">
        <v>681</v>
      </c>
      <c r="B102" s="491"/>
      <c r="C102" s="492"/>
      <c r="D102" s="492"/>
      <c r="E102" s="492"/>
      <c r="F102" s="492"/>
      <c r="G102" s="493"/>
      <c r="H102" s="494"/>
      <c r="I102" s="484"/>
      <c r="J102" s="485"/>
      <c r="K102" s="485"/>
      <c r="L102" s="485"/>
      <c r="M102" s="485"/>
      <c r="N102" s="486" t="s">
        <v>1208</v>
      </c>
      <c r="O102" s="487">
        <v>2</v>
      </c>
      <c r="P102" s="485"/>
      <c r="Q102" s="485"/>
      <c r="R102" s="485"/>
      <c r="S102" s="485"/>
      <c r="T102" s="485"/>
      <c r="U102" s="486"/>
      <c r="V102" s="486"/>
      <c r="W102" s="484"/>
      <c r="X102" s="485"/>
      <c r="Y102" s="485"/>
      <c r="Z102" s="485"/>
      <c r="AA102" s="485"/>
      <c r="AB102" s="486"/>
      <c r="AC102" s="487"/>
      <c r="AD102" s="486"/>
      <c r="AE102" s="458" t="str">
        <f t="shared" si="11"/>
        <v/>
      </c>
      <c r="AF102">
        <f t="shared" si="12"/>
        <v>35</v>
      </c>
      <c r="AG102" t="str">
        <f t="shared" si="13"/>
        <v/>
      </c>
      <c r="AH102" t="str">
        <f t="shared" si="14"/>
        <v/>
      </c>
      <c r="AI102" s="488"/>
      <c r="AJ102" s="490"/>
      <c r="AK102" s="490"/>
    </row>
    <row r="103" spans="1:37" x14ac:dyDescent="0.25">
      <c r="A103" s="483" t="s">
        <v>200</v>
      </c>
      <c r="B103" s="484"/>
      <c r="C103" s="485"/>
      <c r="D103" s="485"/>
      <c r="E103" s="485"/>
      <c r="F103" s="485"/>
      <c r="G103" s="486" t="s">
        <v>1210</v>
      </c>
      <c r="H103" s="487">
        <v>1</v>
      </c>
      <c r="I103" s="484"/>
      <c r="J103" s="485"/>
      <c r="K103" s="485"/>
      <c r="L103" s="485"/>
      <c r="M103" s="485"/>
      <c r="N103" s="486"/>
      <c r="O103" s="487"/>
      <c r="P103" s="485"/>
      <c r="Q103" s="485"/>
      <c r="R103" s="485"/>
      <c r="S103" s="485"/>
      <c r="T103" s="485"/>
      <c r="U103" s="486" t="s">
        <v>1210</v>
      </c>
      <c r="V103" s="486">
        <v>1</v>
      </c>
      <c r="W103" s="484"/>
      <c r="X103" s="485"/>
      <c r="Y103" s="485"/>
      <c r="Z103" s="485"/>
      <c r="AA103" s="485"/>
      <c r="AB103" s="486"/>
      <c r="AC103" s="487"/>
      <c r="AD103" s="486" t="s">
        <v>1206</v>
      </c>
      <c r="AE103" s="458">
        <f t="shared" si="11"/>
        <v>25</v>
      </c>
      <c r="AF103" t="str">
        <f t="shared" si="12"/>
        <v/>
      </c>
      <c r="AG103">
        <f t="shared" si="13"/>
        <v>30</v>
      </c>
      <c r="AH103" t="str">
        <f t="shared" si="14"/>
        <v/>
      </c>
      <c r="AI103" s="488"/>
      <c r="AJ103" s="490">
        <v>64</v>
      </c>
      <c r="AK103" s="490" t="s">
        <v>1207</v>
      </c>
    </row>
    <row r="104" spans="1:37" x14ac:dyDescent="0.25">
      <c r="A104" s="483" t="s">
        <v>203</v>
      </c>
      <c r="B104" s="484"/>
      <c r="C104" s="485"/>
      <c r="D104" s="485"/>
      <c r="E104" s="485"/>
      <c r="F104" s="485"/>
      <c r="G104" s="486"/>
      <c r="H104" s="487">
        <v>1</v>
      </c>
      <c r="I104" s="484"/>
      <c r="J104" s="485"/>
      <c r="K104" s="485"/>
      <c r="L104" s="485"/>
      <c r="M104" s="485"/>
      <c r="N104" s="486"/>
      <c r="O104" s="487">
        <v>1</v>
      </c>
      <c r="P104" s="485"/>
      <c r="Q104" s="485"/>
      <c r="R104" s="485"/>
      <c r="S104" s="485"/>
      <c r="T104" s="485"/>
      <c r="U104" s="486"/>
      <c r="V104" s="486"/>
      <c r="W104" s="484"/>
      <c r="X104" s="485"/>
      <c r="Y104" s="485"/>
      <c r="Z104" s="485"/>
      <c r="AA104" s="485"/>
      <c r="AB104" s="486"/>
      <c r="AC104" s="487"/>
      <c r="AD104" s="486" t="s">
        <v>1206</v>
      </c>
      <c r="AE104" s="458" t="str">
        <f t="shared" si="11"/>
        <v/>
      </c>
      <c r="AF104" t="str">
        <f t="shared" si="12"/>
        <v/>
      </c>
      <c r="AG104" t="str">
        <f t="shared" si="13"/>
        <v/>
      </c>
      <c r="AH104" t="str">
        <f t="shared" si="14"/>
        <v/>
      </c>
      <c r="AI104" s="488"/>
      <c r="AJ104" s="490">
        <v>65</v>
      </c>
      <c r="AK104" s="490" t="s">
        <v>1207</v>
      </c>
    </row>
    <row r="105" spans="1:37" x14ac:dyDescent="0.25">
      <c r="A105" s="483" t="s">
        <v>205</v>
      </c>
      <c r="B105" s="484" t="s">
        <v>66</v>
      </c>
      <c r="C105" s="485"/>
      <c r="D105" s="485" t="s">
        <v>66</v>
      </c>
      <c r="E105" s="485" t="s">
        <v>56</v>
      </c>
      <c r="F105" s="485"/>
      <c r="G105" s="486" t="s">
        <v>1210</v>
      </c>
      <c r="H105" s="487">
        <v>1</v>
      </c>
      <c r="I105" s="484"/>
      <c r="J105" s="485"/>
      <c r="K105" s="485"/>
      <c r="L105" s="485"/>
      <c r="M105" s="485"/>
      <c r="N105" s="486"/>
      <c r="O105" s="487">
        <v>1</v>
      </c>
      <c r="P105" s="485" t="s">
        <v>66</v>
      </c>
      <c r="Q105" s="485"/>
      <c r="R105" s="485" t="s">
        <v>66</v>
      </c>
      <c r="S105" s="485"/>
      <c r="T105" s="485"/>
      <c r="U105" s="486" t="s">
        <v>1205</v>
      </c>
      <c r="V105" s="486"/>
      <c r="W105" s="484"/>
      <c r="X105" s="485"/>
      <c r="Y105" s="485"/>
      <c r="Z105" s="485"/>
      <c r="AA105" s="485"/>
      <c r="AB105" s="486"/>
      <c r="AC105" s="487"/>
      <c r="AD105" s="486" t="s">
        <v>1206</v>
      </c>
      <c r="AE105" s="458">
        <f t="shared" si="11"/>
        <v>25</v>
      </c>
      <c r="AF105" t="str">
        <f t="shared" si="12"/>
        <v/>
      </c>
      <c r="AG105">
        <f t="shared" si="13"/>
        <v>45</v>
      </c>
      <c r="AH105" t="str">
        <f t="shared" si="14"/>
        <v/>
      </c>
      <c r="AI105" s="488"/>
      <c r="AJ105" s="490">
        <v>66</v>
      </c>
      <c r="AK105" s="490" t="s">
        <v>1207</v>
      </c>
    </row>
    <row r="106" spans="1:37" x14ac:dyDescent="0.25">
      <c r="A106" s="483" t="s">
        <v>207</v>
      </c>
      <c r="B106" s="484"/>
      <c r="C106" s="485"/>
      <c r="D106" s="485"/>
      <c r="E106" s="485"/>
      <c r="F106" s="485"/>
      <c r="G106" s="486" t="s">
        <v>1210</v>
      </c>
      <c r="H106" s="487">
        <v>1</v>
      </c>
      <c r="I106" s="484"/>
      <c r="J106" s="485"/>
      <c r="K106" s="485"/>
      <c r="L106" s="485"/>
      <c r="M106" s="485"/>
      <c r="N106" s="486" t="s">
        <v>1205</v>
      </c>
      <c r="O106" s="487">
        <v>1</v>
      </c>
      <c r="P106" s="485" t="s">
        <v>66</v>
      </c>
      <c r="Q106" s="485"/>
      <c r="R106" s="485" t="s">
        <v>66</v>
      </c>
      <c r="S106" s="485"/>
      <c r="T106" s="485" t="s">
        <v>66</v>
      </c>
      <c r="U106" s="486" t="s">
        <v>1205</v>
      </c>
      <c r="V106" s="486">
        <v>1</v>
      </c>
      <c r="W106" s="484"/>
      <c r="X106" s="485"/>
      <c r="Y106" s="485"/>
      <c r="Z106" s="485"/>
      <c r="AA106" s="485"/>
      <c r="AB106" s="486"/>
      <c r="AC106" s="487"/>
      <c r="AD106" s="486" t="s">
        <v>1206</v>
      </c>
      <c r="AE106" s="458">
        <f t="shared" si="11"/>
        <v>25</v>
      </c>
      <c r="AF106">
        <f t="shared" si="12"/>
        <v>35</v>
      </c>
      <c r="AG106">
        <f t="shared" si="13"/>
        <v>45</v>
      </c>
      <c r="AH106" t="str">
        <f t="shared" si="14"/>
        <v/>
      </c>
      <c r="AI106" s="488"/>
      <c r="AJ106" s="490">
        <v>67</v>
      </c>
      <c r="AK106" s="490" t="s">
        <v>1207</v>
      </c>
    </row>
    <row r="107" spans="1:37" x14ac:dyDescent="0.25">
      <c r="A107" s="483" t="s">
        <v>210</v>
      </c>
      <c r="B107" s="484"/>
      <c r="C107" s="485"/>
      <c r="D107" s="485"/>
      <c r="E107" s="485"/>
      <c r="F107" s="485"/>
      <c r="G107" s="486" t="s">
        <v>1210</v>
      </c>
      <c r="H107" s="487">
        <v>2</v>
      </c>
      <c r="I107" s="484"/>
      <c r="J107" s="485"/>
      <c r="K107" s="485"/>
      <c r="L107" s="485"/>
      <c r="M107" s="485"/>
      <c r="N107" s="486" t="s">
        <v>1212</v>
      </c>
      <c r="O107" s="487">
        <v>1</v>
      </c>
      <c r="P107" s="485"/>
      <c r="Q107" s="485"/>
      <c r="R107" s="485"/>
      <c r="S107" s="485"/>
      <c r="T107" s="485"/>
      <c r="U107" s="486"/>
      <c r="V107" s="486"/>
      <c r="W107" s="484"/>
      <c r="X107" s="485"/>
      <c r="Y107" s="485"/>
      <c r="Z107" s="485"/>
      <c r="AA107" s="485"/>
      <c r="AB107" s="486"/>
      <c r="AC107" s="487"/>
      <c r="AD107" s="486" t="s">
        <v>1206</v>
      </c>
      <c r="AE107" s="458">
        <f t="shared" si="11"/>
        <v>25</v>
      </c>
      <c r="AF107">
        <f t="shared" si="12"/>
        <v>25</v>
      </c>
      <c r="AG107" t="str">
        <f t="shared" si="13"/>
        <v/>
      </c>
      <c r="AH107" t="str">
        <f t="shared" si="14"/>
        <v/>
      </c>
      <c r="AI107" s="488"/>
      <c r="AJ107" s="490">
        <v>68</v>
      </c>
      <c r="AK107" s="490" t="s">
        <v>1207</v>
      </c>
    </row>
    <row r="108" spans="1:37" x14ac:dyDescent="0.25">
      <c r="A108" s="483" t="s">
        <v>213</v>
      </c>
      <c r="B108" s="484"/>
      <c r="C108" s="485"/>
      <c r="D108" s="485"/>
      <c r="E108" s="485"/>
      <c r="F108" s="485"/>
      <c r="G108" s="486" t="s">
        <v>1209</v>
      </c>
      <c r="H108" s="487">
        <v>1</v>
      </c>
      <c r="I108" s="484"/>
      <c r="J108" s="485"/>
      <c r="K108" s="485"/>
      <c r="L108" s="485"/>
      <c r="M108" s="485"/>
      <c r="N108" s="486" t="s">
        <v>1209</v>
      </c>
      <c r="O108" s="487">
        <v>1</v>
      </c>
      <c r="P108" s="485"/>
      <c r="Q108" s="485"/>
      <c r="R108" s="485"/>
      <c r="S108" s="485"/>
      <c r="T108" s="485"/>
      <c r="U108" s="486" t="s">
        <v>1209</v>
      </c>
      <c r="V108" s="486">
        <v>1</v>
      </c>
      <c r="W108" s="484"/>
      <c r="X108" s="485"/>
      <c r="Y108" s="485"/>
      <c r="Z108" s="485"/>
      <c r="AA108" s="485"/>
      <c r="AB108" s="486"/>
      <c r="AC108" s="487"/>
      <c r="AD108" s="486" t="s">
        <v>1206</v>
      </c>
      <c r="AE108" s="458">
        <f t="shared" si="11"/>
        <v>55</v>
      </c>
      <c r="AF108">
        <f t="shared" si="12"/>
        <v>55</v>
      </c>
      <c r="AG108">
        <f t="shared" si="13"/>
        <v>60</v>
      </c>
      <c r="AH108" t="str">
        <f t="shared" si="14"/>
        <v/>
      </c>
      <c r="AI108" s="488"/>
      <c r="AJ108" s="490">
        <v>69</v>
      </c>
      <c r="AK108" s="490" t="s">
        <v>1207</v>
      </c>
    </row>
    <row r="109" spans="1:37" x14ac:dyDescent="0.25">
      <c r="A109" s="483" t="s">
        <v>216</v>
      </c>
      <c r="B109" s="484"/>
      <c r="C109" s="485"/>
      <c r="D109" s="485"/>
      <c r="E109" s="485"/>
      <c r="F109" s="485"/>
      <c r="G109" s="486"/>
      <c r="H109" s="487"/>
      <c r="I109" s="484"/>
      <c r="J109" s="485"/>
      <c r="K109" s="485"/>
      <c r="L109" s="485"/>
      <c r="M109" s="485"/>
      <c r="N109" s="486"/>
      <c r="O109" s="487">
        <v>1</v>
      </c>
      <c r="P109" s="485"/>
      <c r="Q109" s="485"/>
      <c r="R109" s="485"/>
      <c r="S109" s="485"/>
      <c r="T109" s="485"/>
      <c r="U109" s="486"/>
      <c r="V109" s="486"/>
      <c r="W109" s="484"/>
      <c r="X109" s="485"/>
      <c r="Y109" s="485"/>
      <c r="Z109" s="485"/>
      <c r="AA109" s="485"/>
      <c r="AB109" s="486"/>
      <c r="AC109" s="487"/>
      <c r="AD109" s="486" t="s">
        <v>1206</v>
      </c>
      <c r="AE109" s="458" t="str">
        <f t="shared" si="11"/>
        <v/>
      </c>
      <c r="AF109" t="str">
        <f t="shared" si="12"/>
        <v/>
      </c>
      <c r="AG109" t="str">
        <f t="shared" si="13"/>
        <v/>
      </c>
      <c r="AH109" t="str">
        <f t="shared" si="14"/>
        <v/>
      </c>
      <c r="AI109" s="488"/>
      <c r="AJ109" s="490"/>
      <c r="AK109" s="490"/>
    </row>
    <row r="110" spans="1:37" x14ac:dyDescent="0.25">
      <c r="A110" s="483" t="s">
        <v>809</v>
      </c>
      <c r="B110" s="484"/>
      <c r="C110" s="485"/>
      <c r="D110" s="485"/>
      <c r="E110" s="485"/>
      <c r="F110" s="485"/>
      <c r="G110" s="486"/>
      <c r="H110" s="487"/>
      <c r="I110" s="484"/>
      <c r="J110" s="485"/>
      <c r="K110" s="485"/>
      <c r="L110" s="485"/>
      <c r="M110" s="485"/>
      <c r="N110" s="486" t="s">
        <v>1209</v>
      </c>
      <c r="O110" s="487"/>
      <c r="P110" s="485"/>
      <c r="Q110" s="485"/>
      <c r="R110" s="485"/>
      <c r="S110" s="485"/>
      <c r="T110" s="485"/>
      <c r="U110" s="486"/>
      <c r="V110" s="486"/>
      <c r="W110" s="484"/>
      <c r="X110" s="485"/>
      <c r="Y110" s="485"/>
      <c r="Z110" s="485"/>
      <c r="AA110" s="485"/>
      <c r="AB110" s="486"/>
      <c r="AC110" s="487"/>
      <c r="AD110" s="486"/>
      <c r="AE110" s="458" t="str">
        <f t="shared" si="11"/>
        <v/>
      </c>
      <c r="AF110">
        <f t="shared" si="12"/>
        <v>55</v>
      </c>
      <c r="AG110" t="str">
        <f t="shared" si="13"/>
        <v/>
      </c>
      <c r="AH110" t="str">
        <f t="shared" si="14"/>
        <v/>
      </c>
      <c r="AI110" s="488"/>
      <c r="AJ110" s="490"/>
      <c r="AK110" s="490"/>
    </row>
    <row r="111" spans="1:37" x14ac:dyDescent="0.25">
      <c r="A111" s="483" t="s">
        <v>217</v>
      </c>
      <c r="B111" s="484"/>
      <c r="C111" s="485"/>
      <c r="D111" s="485"/>
      <c r="E111" s="485"/>
      <c r="F111" s="485"/>
      <c r="G111" s="486" t="s">
        <v>1209</v>
      </c>
      <c r="H111" s="487">
        <v>1</v>
      </c>
      <c r="I111" s="484"/>
      <c r="J111" s="485"/>
      <c r="K111" s="485"/>
      <c r="L111" s="485"/>
      <c r="M111" s="485"/>
      <c r="N111" s="486" t="s">
        <v>1209</v>
      </c>
      <c r="O111" s="487">
        <v>1</v>
      </c>
      <c r="P111" s="485"/>
      <c r="Q111" s="485"/>
      <c r="R111" s="485"/>
      <c r="S111" s="485"/>
      <c r="T111" s="485"/>
      <c r="U111" s="486"/>
      <c r="V111" s="486"/>
      <c r="W111" s="484"/>
      <c r="X111" s="485"/>
      <c r="Y111" s="485"/>
      <c r="Z111" s="485"/>
      <c r="AA111" s="485"/>
      <c r="AB111" s="486"/>
      <c r="AC111" s="487"/>
      <c r="AD111" s="486" t="s">
        <v>1206</v>
      </c>
      <c r="AE111" s="458">
        <f t="shared" si="11"/>
        <v>55</v>
      </c>
      <c r="AF111">
        <f t="shared" si="12"/>
        <v>55</v>
      </c>
      <c r="AG111" t="str">
        <f t="shared" si="13"/>
        <v/>
      </c>
      <c r="AH111" t="str">
        <f t="shared" si="14"/>
        <v/>
      </c>
      <c r="AI111" s="488"/>
      <c r="AJ111" s="490"/>
      <c r="AK111" s="490"/>
    </row>
    <row r="112" spans="1:37" x14ac:dyDescent="0.25">
      <c r="A112" s="483" t="s">
        <v>1415</v>
      </c>
      <c r="B112" s="484"/>
      <c r="C112" s="485"/>
      <c r="D112" s="485"/>
      <c r="E112" s="485"/>
      <c r="F112" s="485"/>
      <c r="G112" s="486" t="s">
        <v>1209</v>
      </c>
      <c r="H112" s="487">
        <v>1</v>
      </c>
      <c r="I112" s="484" t="s">
        <v>66</v>
      </c>
      <c r="J112" s="485"/>
      <c r="K112" s="485" t="s">
        <v>66</v>
      </c>
      <c r="L112" s="485" t="s">
        <v>66</v>
      </c>
      <c r="M112" s="485"/>
      <c r="N112" s="486" t="s">
        <v>1209</v>
      </c>
      <c r="O112" s="487"/>
      <c r="P112" s="485"/>
      <c r="Q112" s="485"/>
      <c r="R112" s="485"/>
      <c r="S112" s="485"/>
      <c r="T112" s="485"/>
      <c r="U112" s="486"/>
      <c r="V112" s="486"/>
      <c r="W112" s="484"/>
      <c r="X112" s="485"/>
      <c r="Y112" s="485"/>
      <c r="Z112" s="485"/>
      <c r="AA112" s="485"/>
      <c r="AB112" s="486"/>
      <c r="AC112" s="487"/>
      <c r="AD112" s="486"/>
      <c r="AE112" s="458">
        <f t="shared" si="11"/>
        <v>55</v>
      </c>
      <c r="AF112">
        <f t="shared" si="12"/>
        <v>55</v>
      </c>
      <c r="AI112" s="488"/>
      <c r="AJ112" s="490"/>
      <c r="AK112" s="490"/>
    </row>
    <row r="113" spans="1:37" x14ac:dyDescent="0.25">
      <c r="A113" s="483" t="s">
        <v>218</v>
      </c>
      <c r="B113" s="484"/>
      <c r="C113" s="485"/>
      <c r="D113" s="485"/>
      <c r="E113" s="485"/>
      <c r="F113" s="485"/>
      <c r="G113" s="486" t="s">
        <v>1209</v>
      </c>
      <c r="H113" s="487">
        <v>1</v>
      </c>
      <c r="I113" s="484"/>
      <c r="J113" s="485"/>
      <c r="K113" s="485"/>
      <c r="L113" s="485"/>
      <c r="M113" s="485"/>
      <c r="N113" s="486" t="s">
        <v>1209</v>
      </c>
      <c r="O113" s="487">
        <v>1</v>
      </c>
      <c r="P113" s="485"/>
      <c r="Q113" s="485"/>
      <c r="R113" s="485"/>
      <c r="S113" s="485"/>
      <c r="T113" s="485"/>
      <c r="U113" s="486"/>
      <c r="V113" s="486"/>
      <c r="W113" s="484"/>
      <c r="X113" s="485"/>
      <c r="Y113" s="485"/>
      <c r="Z113" s="485"/>
      <c r="AA113" s="485"/>
      <c r="AB113" s="486"/>
      <c r="AC113" s="487"/>
      <c r="AD113" s="486" t="s">
        <v>1206</v>
      </c>
      <c r="AE113" s="458">
        <f t="shared" si="11"/>
        <v>55</v>
      </c>
      <c r="AF113">
        <f t="shared" si="12"/>
        <v>55</v>
      </c>
      <c r="AG113" t="str">
        <f t="shared" si="13"/>
        <v/>
      </c>
      <c r="AH113" t="str">
        <f t="shared" si="14"/>
        <v/>
      </c>
      <c r="AI113" s="488"/>
      <c r="AJ113" s="490"/>
      <c r="AK113" s="490"/>
    </row>
    <row r="114" spans="1:37" x14ac:dyDescent="0.25">
      <c r="A114" s="483" t="s">
        <v>219</v>
      </c>
      <c r="B114" s="484"/>
      <c r="C114" s="485"/>
      <c r="D114" s="485"/>
      <c r="E114" s="485"/>
      <c r="F114" s="485"/>
      <c r="G114" s="486" t="s">
        <v>1209</v>
      </c>
      <c r="H114" s="487">
        <v>1</v>
      </c>
      <c r="I114" s="484" t="s">
        <v>66</v>
      </c>
      <c r="J114" s="485"/>
      <c r="K114" s="485" t="s">
        <v>66</v>
      </c>
      <c r="L114" s="485"/>
      <c r="M114" s="485"/>
      <c r="N114" s="486" t="s">
        <v>1209</v>
      </c>
      <c r="O114" s="487">
        <v>1</v>
      </c>
      <c r="P114" s="485"/>
      <c r="Q114" s="485"/>
      <c r="R114" s="485"/>
      <c r="S114" s="485"/>
      <c r="T114" s="485"/>
      <c r="U114" s="486"/>
      <c r="V114" s="486"/>
      <c r="W114" s="484"/>
      <c r="X114" s="485"/>
      <c r="Y114" s="485"/>
      <c r="Z114" s="485"/>
      <c r="AA114" s="485"/>
      <c r="AB114" s="486"/>
      <c r="AC114" s="487"/>
      <c r="AD114" s="486" t="s">
        <v>1206</v>
      </c>
      <c r="AE114" s="458">
        <f t="shared" si="11"/>
        <v>55</v>
      </c>
      <c r="AF114">
        <f t="shared" si="12"/>
        <v>55</v>
      </c>
      <c r="AG114" t="str">
        <f t="shared" si="13"/>
        <v/>
      </c>
      <c r="AH114" t="str">
        <f t="shared" si="14"/>
        <v/>
      </c>
      <c r="AI114" s="488">
        <v>500</v>
      </c>
      <c r="AJ114" s="489"/>
      <c r="AK114" s="490" t="s">
        <v>1207</v>
      </c>
    </row>
    <row r="115" spans="1:37" x14ac:dyDescent="0.25">
      <c r="A115" s="483" t="s">
        <v>734</v>
      </c>
      <c r="B115" s="484"/>
      <c r="C115" s="485"/>
      <c r="D115" s="485"/>
      <c r="E115" s="485"/>
      <c r="F115" s="485"/>
      <c r="G115" s="486"/>
      <c r="H115" s="487"/>
      <c r="I115" s="484"/>
      <c r="J115" s="485"/>
      <c r="K115" s="485"/>
      <c r="L115" s="485"/>
      <c r="M115" s="485"/>
      <c r="N115" s="486"/>
      <c r="O115" s="487"/>
      <c r="P115" s="485"/>
      <c r="Q115" s="485"/>
      <c r="R115" s="485"/>
      <c r="S115" s="485"/>
      <c r="T115" s="485"/>
      <c r="U115" s="486"/>
      <c r="V115" s="486"/>
      <c r="W115" s="484"/>
      <c r="X115" s="485"/>
      <c r="Y115" s="485"/>
      <c r="Z115" s="485"/>
      <c r="AA115" s="485"/>
      <c r="AB115" s="486"/>
      <c r="AC115" s="487"/>
      <c r="AD115" s="486"/>
      <c r="AE115" s="458" t="str">
        <f t="shared" si="11"/>
        <v/>
      </c>
      <c r="AF115" t="str">
        <f t="shared" si="12"/>
        <v/>
      </c>
      <c r="AG115" t="str">
        <f t="shared" si="13"/>
        <v/>
      </c>
      <c r="AH115" t="str">
        <f t="shared" si="14"/>
        <v/>
      </c>
      <c r="AI115" s="488"/>
      <c r="AJ115" s="489"/>
      <c r="AK115" s="490"/>
    </row>
    <row r="116" spans="1:37" x14ac:dyDescent="0.25">
      <c r="A116" s="483" t="s">
        <v>222</v>
      </c>
      <c r="B116" s="484"/>
      <c r="C116" s="485"/>
      <c r="D116" s="485"/>
      <c r="E116" s="485"/>
      <c r="F116" s="485"/>
      <c r="G116" s="486" t="s">
        <v>1209</v>
      </c>
      <c r="H116" s="487">
        <v>1</v>
      </c>
      <c r="I116" s="484" t="s">
        <v>66</v>
      </c>
      <c r="J116" s="485" t="s">
        <v>66</v>
      </c>
      <c r="K116" s="485" t="s">
        <v>66</v>
      </c>
      <c r="L116" s="485"/>
      <c r="M116" s="485"/>
      <c r="N116" s="486" t="s">
        <v>1209</v>
      </c>
      <c r="O116" s="487">
        <v>1</v>
      </c>
      <c r="P116" s="485"/>
      <c r="Q116" s="485"/>
      <c r="R116" s="485"/>
      <c r="S116" s="485"/>
      <c r="T116" s="485"/>
      <c r="U116" s="486"/>
      <c r="V116" s="486"/>
      <c r="W116" s="484"/>
      <c r="X116" s="485"/>
      <c r="Y116" s="485"/>
      <c r="Z116" s="485"/>
      <c r="AA116" s="485"/>
      <c r="AB116" s="486"/>
      <c r="AC116" s="487"/>
      <c r="AD116" s="486" t="s">
        <v>1206</v>
      </c>
      <c r="AE116" s="458">
        <f t="shared" ref="AE116:AE147" si="15">IF(G116="S",25,IF(G116="M",35,IF(G116="L",55,"")))</f>
        <v>55</v>
      </c>
      <c r="AF116">
        <f t="shared" ref="AF116:AF147" si="16">IF(N116="S",25,IF(N116="M",35,IF(N116="L",55,"")))</f>
        <v>55</v>
      </c>
      <c r="AG116" t="str">
        <f t="shared" ref="AG116:AG147" si="17">IF(U116="S",30,IF(U116="M",45,IF(U116="L",60,"")))</f>
        <v/>
      </c>
      <c r="AH116" t="str">
        <f t="shared" ref="AH116:AH147" si="18">IF(AB116="S",30,IF(AB116="M",45,IF(AB116="L",60,"")))</f>
        <v/>
      </c>
      <c r="AI116" s="488"/>
      <c r="AJ116" s="489"/>
      <c r="AK116" s="490" t="s">
        <v>1207</v>
      </c>
    </row>
    <row r="117" spans="1:37" x14ac:dyDescent="0.25">
      <c r="A117" s="483" t="s">
        <v>224</v>
      </c>
      <c r="B117" s="484" t="s">
        <v>66</v>
      </c>
      <c r="C117" s="485"/>
      <c r="D117" s="485" t="s">
        <v>66</v>
      </c>
      <c r="E117" s="485"/>
      <c r="F117" s="485"/>
      <c r="G117" s="486" t="s">
        <v>1209</v>
      </c>
      <c r="H117" s="487">
        <v>1</v>
      </c>
      <c r="I117" s="484" t="s">
        <v>66</v>
      </c>
      <c r="J117" s="485"/>
      <c r="K117" s="485" t="s">
        <v>66</v>
      </c>
      <c r="L117" s="485"/>
      <c r="M117" s="485"/>
      <c r="N117" s="486" t="s">
        <v>1209</v>
      </c>
      <c r="O117" s="487">
        <v>1</v>
      </c>
      <c r="P117" s="485"/>
      <c r="Q117" s="485"/>
      <c r="R117" s="485"/>
      <c r="S117" s="485"/>
      <c r="T117" s="485"/>
      <c r="U117" s="486"/>
      <c r="V117" s="486"/>
      <c r="W117" s="484"/>
      <c r="X117" s="485"/>
      <c r="Y117" s="485"/>
      <c r="Z117" s="485"/>
      <c r="AA117" s="485"/>
      <c r="AB117" s="486"/>
      <c r="AC117" s="487"/>
      <c r="AD117" s="486" t="s">
        <v>1206</v>
      </c>
      <c r="AE117" s="458">
        <f t="shared" si="15"/>
        <v>55</v>
      </c>
      <c r="AF117">
        <f t="shared" si="16"/>
        <v>55</v>
      </c>
      <c r="AG117" t="str">
        <f t="shared" si="17"/>
        <v/>
      </c>
      <c r="AH117" t="str">
        <f t="shared" si="18"/>
        <v/>
      </c>
      <c r="AI117" s="488">
        <v>300</v>
      </c>
      <c r="AJ117" s="490">
        <v>71</v>
      </c>
      <c r="AK117" s="490" t="s">
        <v>1207</v>
      </c>
    </row>
    <row r="118" spans="1:37" x14ac:dyDescent="0.25">
      <c r="A118" s="483" t="s">
        <v>226</v>
      </c>
      <c r="B118" s="484"/>
      <c r="C118" s="485"/>
      <c r="D118" s="485"/>
      <c r="E118" s="485"/>
      <c r="F118" s="485"/>
      <c r="G118" s="486" t="s">
        <v>1209</v>
      </c>
      <c r="H118" s="487">
        <v>1</v>
      </c>
      <c r="I118" s="484"/>
      <c r="J118" s="485"/>
      <c r="K118" s="485"/>
      <c r="L118" s="485"/>
      <c r="M118" s="485"/>
      <c r="N118" s="486" t="s">
        <v>1209</v>
      </c>
      <c r="O118" s="487">
        <v>1</v>
      </c>
      <c r="P118" s="485"/>
      <c r="Q118" s="485"/>
      <c r="R118" s="485"/>
      <c r="S118" s="485"/>
      <c r="T118" s="485"/>
      <c r="U118" s="486"/>
      <c r="V118" s="486"/>
      <c r="W118" s="484"/>
      <c r="X118" s="485"/>
      <c r="Y118" s="485"/>
      <c r="Z118" s="485"/>
      <c r="AA118" s="485"/>
      <c r="AB118" s="486"/>
      <c r="AC118" s="487"/>
      <c r="AD118" s="486" t="s">
        <v>1206</v>
      </c>
      <c r="AE118" s="458">
        <f t="shared" si="15"/>
        <v>55</v>
      </c>
      <c r="AF118">
        <f t="shared" si="16"/>
        <v>55</v>
      </c>
      <c r="AG118" t="str">
        <f t="shared" si="17"/>
        <v/>
      </c>
      <c r="AH118" t="str">
        <f t="shared" si="18"/>
        <v/>
      </c>
      <c r="AI118" s="488"/>
      <c r="AJ118" s="490">
        <v>213</v>
      </c>
      <c r="AK118" s="490" t="s">
        <v>1207</v>
      </c>
    </row>
    <row r="119" spans="1:37" x14ac:dyDescent="0.25">
      <c r="A119" s="483" t="s">
        <v>229</v>
      </c>
      <c r="B119" s="484"/>
      <c r="C119" s="485"/>
      <c r="D119" s="485"/>
      <c r="E119" s="485"/>
      <c r="F119" s="485"/>
      <c r="G119" s="486" t="s">
        <v>1209</v>
      </c>
      <c r="H119" s="487">
        <v>1</v>
      </c>
      <c r="I119" s="484"/>
      <c r="J119" s="485"/>
      <c r="K119" s="485"/>
      <c r="L119" s="485"/>
      <c r="M119" s="485"/>
      <c r="N119" s="486" t="s">
        <v>1209</v>
      </c>
      <c r="O119" s="487">
        <v>1</v>
      </c>
      <c r="P119" s="485"/>
      <c r="Q119" s="485"/>
      <c r="R119" s="485"/>
      <c r="S119" s="485"/>
      <c r="T119" s="485"/>
      <c r="U119" s="486"/>
      <c r="V119" s="486"/>
      <c r="W119" s="484"/>
      <c r="X119" s="485"/>
      <c r="Y119" s="485"/>
      <c r="Z119" s="485"/>
      <c r="AA119" s="485"/>
      <c r="AB119" s="486"/>
      <c r="AC119" s="487"/>
      <c r="AD119" s="486" t="s">
        <v>1206</v>
      </c>
      <c r="AE119" s="458">
        <f t="shared" si="15"/>
        <v>55</v>
      </c>
      <c r="AF119">
        <f t="shared" si="16"/>
        <v>55</v>
      </c>
      <c r="AG119" t="str">
        <f t="shared" si="17"/>
        <v/>
      </c>
      <c r="AH119" t="str">
        <f t="shared" si="18"/>
        <v/>
      </c>
      <c r="AI119" s="488"/>
      <c r="AJ119" s="489"/>
      <c r="AK119" s="490" t="s">
        <v>1207</v>
      </c>
    </row>
    <row r="120" spans="1:37" x14ac:dyDescent="0.25">
      <c r="A120" s="483" t="s">
        <v>737</v>
      </c>
      <c r="B120" s="484"/>
      <c r="C120" s="485"/>
      <c r="D120" s="485"/>
      <c r="E120" s="485"/>
      <c r="F120" s="485"/>
      <c r="G120" s="486"/>
      <c r="H120" s="487"/>
      <c r="I120" s="484"/>
      <c r="J120" s="485"/>
      <c r="K120" s="485"/>
      <c r="L120" s="485"/>
      <c r="M120" s="485"/>
      <c r="N120" s="486"/>
      <c r="O120" s="487"/>
      <c r="P120" s="485"/>
      <c r="Q120" s="485"/>
      <c r="R120" s="485"/>
      <c r="S120" s="485"/>
      <c r="T120" s="485"/>
      <c r="U120" s="486"/>
      <c r="V120" s="486"/>
      <c r="W120" s="484"/>
      <c r="X120" s="485"/>
      <c r="Y120" s="485"/>
      <c r="Z120" s="485"/>
      <c r="AA120" s="485"/>
      <c r="AB120" s="486"/>
      <c r="AC120" s="487"/>
      <c r="AD120" s="486"/>
      <c r="AE120" s="458" t="str">
        <f t="shared" si="15"/>
        <v/>
      </c>
      <c r="AF120" t="str">
        <f t="shared" si="16"/>
        <v/>
      </c>
      <c r="AG120" t="str">
        <f t="shared" si="17"/>
        <v/>
      </c>
      <c r="AH120" t="str">
        <f t="shared" si="18"/>
        <v/>
      </c>
      <c r="AI120" s="488"/>
      <c r="AJ120" s="489"/>
      <c r="AK120" s="490"/>
    </row>
    <row r="121" spans="1:37" x14ac:dyDescent="0.25">
      <c r="A121" s="483" t="s">
        <v>231</v>
      </c>
      <c r="B121" s="484" t="s">
        <v>56</v>
      </c>
      <c r="C121" s="485"/>
      <c r="D121" s="485" t="s">
        <v>66</v>
      </c>
      <c r="E121" s="485"/>
      <c r="F121" s="485"/>
      <c r="G121" s="486" t="s">
        <v>1209</v>
      </c>
      <c r="H121" s="487">
        <v>1</v>
      </c>
      <c r="I121" s="484" t="s">
        <v>66</v>
      </c>
      <c r="J121" s="485"/>
      <c r="K121" s="485" t="s">
        <v>66</v>
      </c>
      <c r="L121" s="485" t="s">
        <v>66</v>
      </c>
      <c r="M121" s="485"/>
      <c r="N121" s="486" t="s">
        <v>1209</v>
      </c>
      <c r="O121" s="487">
        <v>1</v>
      </c>
      <c r="P121" s="485" t="s">
        <v>66</v>
      </c>
      <c r="Q121" s="485" t="s">
        <v>66</v>
      </c>
      <c r="R121" s="485" t="s">
        <v>66</v>
      </c>
      <c r="S121" s="485" t="s">
        <v>56</v>
      </c>
      <c r="T121" s="485"/>
      <c r="U121" s="486" t="s">
        <v>1209</v>
      </c>
      <c r="V121" s="486">
        <v>1</v>
      </c>
      <c r="W121" s="484"/>
      <c r="X121" s="485"/>
      <c r="Y121" s="485"/>
      <c r="Z121" s="485"/>
      <c r="AA121" s="485"/>
      <c r="AB121" s="486" t="s">
        <v>1205</v>
      </c>
      <c r="AC121" s="487">
        <v>1</v>
      </c>
      <c r="AD121" s="486" t="s">
        <v>1206</v>
      </c>
      <c r="AE121" s="458">
        <f t="shared" si="15"/>
        <v>55</v>
      </c>
      <c r="AF121">
        <f t="shared" si="16"/>
        <v>55</v>
      </c>
      <c r="AG121">
        <f t="shared" si="17"/>
        <v>60</v>
      </c>
      <c r="AH121">
        <f t="shared" si="18"/>
        <v>45</v>
      </c>
      <c r="AI121" s="488">
        <v>500</v>
      </c>
      <c r="AJ121" s="490">
        <v>72</v>
      </c>
      <c r="AK121" s="490" t="s">
        <v>1207</v>
      </c>
    </row>
    <row r="122" spans="1:37" x14ac:dyDescent="0.25">
      <c r="A122" s="483" t="s">
        <v>739</v>
      </c>
      <c r="B122" s="484"/>
      <c r="C122" s="485"/>
      <c r="D122" s="485"/>
      <c r="E122" s="485"/>
      <c r="F122" s="485"/>
      <c r="G122" s="486"/>
      <c r="H122" s="487"/>
      <c r="I122" s="484"/>
      <c r="J122" s="485"/>
      <c r="K122" s="485"/>
      <c r="L122" s="485"/>
      <c r="M122" s="485"/>
      <c r="N122" s="486"/>
      <c r="O122" s="487"/>
      <c r="P122" s="485"/>
      <c r="Q122" s="485"/>
      <c r="R122" s="485"/>
      <c r="S122" s="485"/>
      <c r="T122" s="485"/>
      <c r="U122" s="486"/>
      <c r="V122" s="486"/>
      <c r="W122" s="484"/>
      <c r="X122" s="485"/>
      <c r="Y122" s="485"/>
      <c r="Z122" s="485"/>
      <c r="AA122" s="485"/>
      <c r="AB122" s="486"/>
      <c r="AC122" s="487"/>
      <c r="AD122" s="486"/>
      <c r="AE122" s="458" t="str">
        <f t="shared" si="15"/>
        <v/>
      </c>
      <c r="AF122" t="str">
        <f t="shared" si="16"/>
        <v/>
      </c>
      <c r="AG122" t="str">
        <f t="shared" si="17"/>
        <v/>
      </c>
      <c r="AH122" t="str">
        <f t="shared" si="18"/>
        <v/>
      </c>
      <c r="AI122" s="488"/>
      <c r="AJ122" s="490"/>
      <c r="AK122" s="490"/>
    </row>
    <row r="123" spans="1:37" x14ac:dyDescent="0.25">
      <c r="A123" s="483" t="s">
        <v>742</v>
      </c>
      <c r="B123" s="484"/>
      <c r="C123" s="485"/>
      <c r="D123" s="485"/>
      <c r="E123" s="485"/>
      <c r="F123" s="485"/>
      <c r="G123" s="486"/>
      <c r="H123" s="487"/>
      <c r="I123" s="484"/>
      <c r="J123" s="485"/>
      <c r="K123" s="485"/>
      <c r="L123" s="485"/>
      <c r="M123" s="485"/>
      <c r="N123" s="486"/>
      <c r="O123" s="487"/>
      <c r="P123" s="485"/>
      <c r="Q123" s="485"/>
      <c r="R123" s="485"/>
      <c r="S123" s="485"/>
      <c r="T123" s="485"/>
      <c r="U123" s="486"/>
      <c r="V123" s="486"/>
      <c r="W123" s="484"/>
      <c r="X123" s="485"/>
      <c r="Y123" s="485"/>
      <c r="Z123" s="485"/>
      <c r="AA123" s="485"/>
      <c r="AB123" s="486"/>
      <c r="AC123" s="487"/>
      <c r="AD123" s="486"/>
      <c r="AE123" s="458" t="str">
        <f t="shared" si="15"/>
        <v/>
      </c>
      <c r="AF123" t="str">
        <f t="shared" si="16"/>
        <v/>
      </c>
      <c r="AG123" t="str">
        <f t="shared" si="17"/>
        <v/>
      </c>
      <c r="AH123" t="str">
        <f t="shared" si="18"/>
        <v/>
      </c>
      <c r="AI123" s="488"/>
      <c r="AJ123" s="490"/>
      <c r="AK123" s="490"/>
    </row>
    <row r="124" spans="1:37" x14ac:dyDescent="0.25">
      <c r="A124" s="483" t="s">
        <v>745</v>
      </c>
      <c r="B124" s="484"/>
      <c r="C124" s="485"/>
      <c r="D124" s="485"/>
      <c r="E124" s="485"/>
      <c r="F124" s="485"/>
      <c r="G124" s="486"/>
      <c r="H124" s="487"/>
      <c r="I124" s="484"/>
      <c r="J124" s="485"/>
      <c r="K124" s="485"/>
      <c r="L124" s="485"/>
      <c r="M124" s="485"/>
      <c r="N124" s="486"/>
      <c r="O124" s="487"/>
      <c r="P124" s="485"/>
      <c r="Q124" s="485"/>
      <c r="R124" s="485"/>
      <c r="S124" s="485"/>
      <c r="T124" s="485"/>
      <c r="U124" s="486"/>
      <c r="V124" s="486"/>
      <c r="W124" s="484"/>
      <c r="X124" s="485"/>
      <c r="Y124" s="485"/>
      <c r="Z124" s="485"/>
      <c r="AA124" s="485"/>
      <c r="AB124" s="486"/>
      <c r="AC124" s="487"/>
      <c r="AD124" s="486"/>
      <c r="AE124" s="458" t="str">
        <f t="shared" si="15"/>
        <v/>
      </c>
      <c r="AF124" t="str">
        <f t="shared" si="16"/>
        <v/>
      </c>
      <c r="AG124" t="str">
        <f t="shared" si="17"/>
        <v/>
      </c>
      <c r="AH124" t="str">
        <f t="shared" si="18"/>
        <v/>
      </c>
      <c r="AI124" s="488"/>
      <c r="AJ124" s="490"/>
      <c r="AK124" s="490"/>
    </row>
    <row r="125" spans="1:37" x14ac:dyDescent="0.25">
      <c r="A125" s="483" t="s">
        <v>234</v>
      </c>
      <c r="B125" s="484"/>
      <c r="C125" s="485"/>
      <c r="D125" s="485"/>
      <c r="E125" s="485"/>
      <c r="F125" s="485"/>
      <c r="G125" s="486" t="s">
        <v>1209</v>
      </c>
      <c r="H125" s="487">
        <v>1</v>
      </c>
      <c r="I125" s="484" t="s">
        <v>66</v>
      </c>
      <c r="J125" s="485" t="s">
        <v>66</v>
      </c>
      <c r="K125" s="485" t="s">
        <v>66</v>
      </c>
      <c r="L125" s="485"/>
      <c r="M125" s="485"/>
      <c r="N125" s="486" t="s">
        <v>1205</v>
      </c>
      <c r="O125" s="487">
        <v>1</v>
      </c>
      <c r="P125" s="485"/>
      <c r="Q125" s="485"/>
      <c r="R125" s="485"/>
      <c r="S125" s="485"/>
      <c r="T125" s="485"/>
      <c r="U125" s="486" t="s">
        <v>1209</v>
      </c>
      <c r="V125" s="486">
        <v>1</v>
      </c>
      <c r="W125" s="484"/>
      <c r="X125" s="485"/>
      <c r="Y125" s="485"/>
      <c r="Z125" s="485"/>
      <c r="AA125" s="485"/>
      <c r="AB125" s="486"/>
      <c r="AC125" s="487"/>
      <c r="AD125" s="486" t="s">
        <v>1206</v>
      </c>
      <c r="AE125" s="458">
        <f t="shared" si="15"/>
        <v>55</v>
      </c>
      <c r="AF125">
        <f t="shared" si="16"/>
        <v>35</v>
      </c>
      <c r="AG125">
        <f t="shared" si="17"/>
        <v>60</v>
      </c>
      <c r="AH125" t="str">
        <f t="shared" si="18"/>
        <v/>
      </c>
      <c r="AI125" s="488"/>
      <c r="AJ125" s="490">
        <v>221</v>
      </c>
      <c r="AK125" s="490" t="s">
        <v>1207</v>
      </c>
    </row>
    <row r="126" spans="1:37" x14ac:dyDescent="0.25">
      <c r="A126" s="483" t="s">
        <v>237</v>
      </c>
      <c r="B126" s="484"/>
      <c r="C126" s="485"/>
      <c r="D126" s="485"/>
      <c r="E126" s="485"/>
      <c r="F126" s="485"/>
      <c r="G126" s="486"/>
      <c r="H126" s="487"/>
      <c r="I126" s="484"/>
      <c r="J126" s="485"/>
      <c r="K126" s="485"/>
      <c r="L126" s="485"/>
      <c r="M126" s="485"/>
      <c r="N126" s="486" t="s">
        <v>1209</v>
      </c>
      <c r="O126" s="487">
        <v>1</v>
      </c>
      <c r="P126" s="485"/>
      <c r="Q126" s="485"/>
      <c r="R126" s="485"/>
      <c r="S126" s="485"/>
      <c r="T126" s="485"/>
      <c r="U126" s="486"/>
      <c r="V126" s="486"/>
      <c r="W126" s="484"/>
      <c r="X126" s="485"/>
      <c r="Y126" s="485"/>
      <c r="Z126" s="485"/>
      <c r="AA126" s="485"/>
      <c r="AB126" s="486"/>
      <c r="AC126" s="487"/>
      <c r="AD126" s="486" t="s">
        <v>1206</v>
      </c>
      <c r="AE126" s="458" t="str">
        <f t="shared" si="15"/>
        <v/>
      </c>
      <c r="AF126">
        <f t="shared" si="16"/>
        <v>55</v>
      </c>
      <c r="AG126" t="str">
        <f t="shared" si="17"/>
        <v/>
      </c>
      <c r="AH126" t="str">
        <f t="shared" si="18"/>
        <v/>
      </c>
      <c r="AI126" s="488"/>
      <c r="AJ126" s="490"/>
      <c r="AK126" s="490"/>
    </row>
    <row r="127" spans="1:37" x14ac:dyDescent="0.25">
      <c r="A127" s="483" t="s">
        <v>238</v>
      </c>
      <c r="B127" s="484"/>
      <c r="C127" s="485"/>
      <c r="D127" s="485"/>
      <c r="E127" s="485"/>
      <c r="F127" s="485"/>
      <c r="G127" s="486"/>
      <c r="H127" s="487">
        <v>2</v>
      </c>
      <c r="I127" s="484"/>
      <c r="J127" s="485"/>
      <c r="K127" s="485"/>
      <c r="L127" s="485"/>
      <c r="M127" s="485"/>
      <c r="N127" s="486"/>
      <c r="O127" s="487"/>
      <c r="P127" s="485"/>
      <c r="Q127" s="485"/>
      <c r="R127" s="485"/>
      <c r="S127" s="485"/>
      <c r="T127" s="485"/>
      <c r="U127" s="486"/>
      <c r="V127" s="486"/>
      <c r="W127" s="484"/>
      <c r="X127" s="485"/>
      <c r="Y127" s="485"/>
      <c r="Z127" s="485"/>
      <c r="AA127" s="485"/>
      <c r="AB127" s="486"/>
      <c r="AC127" s="487"/>
      <c r="AD127" s="486" t="s">
        <v>1206</v>
      </c>
      <c r="AE127" s="458" t="str">
        <f t="shared" si="15"/>
        <v/>
      </c>
      <c r="AF127" t="str">
        <f t="shared" si="16"/>
        <v/>
      </c>
      <c r="AG127" t="str">
        <f t="shared" si="17"/>
        <v/>
      </c>
      <c r="AH127" t="str">
        <f t="shared" si="18"/>
        <v/>
      </c>
      <c r="AI127" s="488"/>
      <c r="AJ127" s="489"/>
      <c r="AK127" s="490" t="s">
        <v>1207</v>
      </c>
    </row>
    <row r="128" spans="1:37" x14ac:dyDescent="0.25">
      <c r="A128" s="483" t="s">
        <v>241</v>
      </c>
      <c r="B128" s="484"/>
      <c r="C128" s="485"/>
      <c r="D128" s="485"/>
      <c r="E128" s="485"/>
      <c r="F128" s="485"/>
      <c r="G128" s="486" t="s">
        <v>1205</v>
      </c>
      <c r="H128" s="487">
        <v>2</v>
      </c>
      <c r="I128" s="484"/>
      <c r="J128" s="485"/>
      <c r="K128" s="485"/>
      <c r="L128" s="485"/>
      <c r="M128" s="485"/>
      <c r="N128" s="486"/>
      <c r="O128" s="487"/>
      <c r="P128" s="485"/>
      <c r="Q128" s="485"/>
      <c r="R128" s="485"/>
      <c r="S128" s="485"/>
      <c r="T128" s="485"/>
      <c r="U128" s="486"/>
      <c r="V128" s="486"/>
      <c r="W128" s="484"/>
      <c r="X128" s="485"/>
      <c r="Y128" s="485"/>
      <c r="Z128" s="485"/>
      <c r="AA128" s="485"/>
      <c r="AB128" s="486"/>
      <c r="AC128" s="487"/>
      <c r="AD128" s="486" t="s">
        <v>1206</v>
      </c>
      <c r="AE128" s="458">
        <f t="shared" si="15"/>
        <v>35</v>
      </c>
      <c r="AF128" t="str">
        <f t="shared" si="16"/>
        <v/>
      </c>
      <c r="AG128" t="str">
        <f t="shared" si="17"/>
        <v/>
      </c>
      <c r="AH128" t="str">
        <f t="shared" si="18"/>
        <v/>
      </c>
      <c r="AI128" s="488"/>
      <c r="AJ128" s="489"/>
      <c r="AK128" s="490" t="s">
        <v>1207</v>
      </c>
    </row>
    <row r="129" spans="1:37" x14ac:dyDescent="0.25">
      <c r="A129" s="483" t="s">
        <v>1214</v>
      </c>
      <c r="B129" s="484"/>
      <c r="C129" s="485"/>
      <c r="D129" s="485"/>
      <c r="E129" s="485"/>
      <c r="F129" s="485"/>
      <c r="G129" s="486"/>
      <c r="H129" s="487"/>
      <c r="I129" s="484"/>
      <c r="J129" s="485"/>
      <c r="K129" s="485"/>
      <c r="L129" s="485"/>
      <c r="M129" s="485"/>
      <c r="N129" s="486"/>
      <c r="O129" s="487"/>
      <c r="P129" s="485"/>
      <c r="Q129" s="485"/>
      <c r="R129" s="485"/>
      <c r="S129" s="485"/>
      <c r="T129" s="485"/>
      <c r="U129" s="486"/>
      <c r="V129" s="486"/>
      <c r="W129" s="484"/>
      <c r="X129" s="485"/>
      <c r="Y129" s="485"/>
      <c r="Z129" s="485"/>
      <c r="AA129" s="485"/>
      <c r="AB129" s="486"/>
      <c r="AC129" s="487"/>
      <c r="AD129" s="486"/>
      <c r="AE129" s="458" t="str">
        <f t="shared" si="15"/>
        <v/>
      </c>
      <c r="AF129" t="str">
        <f t="shared" si="16"/>
        <v/>
      </c>
      <c r="AG129" t="str">
        <f t="shared" si="17"/>
        <v/>
      </c>
      <c r="AH129" t="str">
        <f t="shared" si="18"/>
        <v/>
      </c>
      <c r="AI129" s="488"/>
      <c r="AJ129" s="489"/>
      <c r="AK129" s="490"/>
    </row>
    <row r="130" spans="1:37" x14ac:dyDescent="0.25">
      <c r="A130" s="483" t="s">
        <v>244</v>
      </c>
      <c r="B130" s="484"/>
      <c r="C130" s="485"/>
      <c r="D130" s="485"/>
      <c r="E130" s="485"/>
      <c r="F130" s="485"/>
      <c r="G130" s="486"/>
      <c r="H130" s="487">
        <v>2</v>
      </c>
      <c r="I130" s="484"/>
      <c r="J130" s="485"/>
      <c r="K130" s="485"/>
      <c r="L130" s="485"/>
      <c r="M130" s="485"/>
      <c r="N130" s="486"/>
      <c r="O130" s="487"/>
      <c r="P130" s="485"/>
      <c r="Q130" s="485"/>
      <c r="R130" s="485"/>
      <c r="S130" s="485"/>
      <c r="T130" s="485"/>
      <c r="U130" s="486"/>
      <c r="V130" s="486"/>
      <c r="W130" s="484"/>
      <c r="X130" s="485"/>
      <c r="Y130" s="485"/>
      <c r="Z130" s="485"/>
      <c r="AA130" s="485"/>
      <c r="AB130" s="486"/>
      <c r="AC130" s="487"/>
      <c r="AD130" s="486" t="s">
        <v>1206</v>
      </c>
      <c r="AE130" s="458" t="str">
        <f t="shared" si="15"/>
        <v/>
      </c>
      <c r="AF130" t="str">
        <f t="shared" si="16"/>
        <v/>
      </c>
      <c r="AG130" t="str">
        <f t="shared" si="17"/>
        <v/>
      </c>
      <c r="AH130" t="str">
        <f t="shared" si="18"/>
        <v/>
      </c>
      <c r="AI130" s="488"/>
      <c r="AJ130" s="490">
        <v>471</v>
      </c>
      <c r="AK130" s="490" t="s">
        <v>1207</v>
      </c>
    </row>
    <row r="131" spans="1:37" x14ac:dyDescent="0.25">
      <c r="A131" s="483" t="s">
        <v>246</v>
      </c>
      <c r="B131" s="484"/>
      <c r="C131" s="485"/>
      <c r="D131" s="485"/>
      <c r="E131" s="485"/>
      <c r="F131" s="485"/>
      <c r="G131" s="486" t="s">
        <v>1205</v>
      </c>
      <c r="H131" s="487">
        <v>2</v>
      </c>
      <c r="I131" s="484"/>
      <c r="J131" s="485"/>
      <c r="K131" s="485"/>
      <c r="L131" s="485"/>
      <c r="M131" s="485"/>
      <c r="N131" s="486"/>
      <c r="O131" s="487"/>
      <c r="P131" s="485"/>
      <c r="Q131" s="485"/>
      <c r="R131" s="485"/>
      <c r="S131" s="485"/>
      <c r="T131" s="485"/>
      <c r="U131" s="486"/>
      <c r="V131" s="486"/>
      <c r="W131" s="484"/>
      <c r="X131" s="485"/>
      <c r="Y131" s="485"/>
      <c r="Z131" s="485"/>
      <c r="AA131" s="485"/>
      <c r="AB131" s="486"/>
      <c r="AC131" s="487"/>
      <c r="AD131" s="486" t="s">
        <v>1206</v>
      </c>
      <c r="AE131" s="458">
        <f t="shared" si="15"/>
        <v>35</v>
      </c>
      <c r="AF131" t="str">
        <f t="shared" si="16"/>
        <v/>
      </c>
      <c r="AG131" t="str">
        <f t="shared" si="17"/>
        <v/>
      </c>
      <c r="AH131" t="str">
        <f t="shared" si="18"/>
        <v/>
      </c>
      <c r="AI131" s="488"/>
      <c r="AJ131" s="490">
        <v>472</v>
      </c>
      <c r="AK131" s="490" t="s">
        <v>1207</v>
      </c>
    </row>
    <row r="132" spans="1:37" x14ac:dyDescent="0.25">
      <c r="A132" s="483" t="s">
        <v>248</v>
      </c>
      <c r="B132" s="484"/>
      <c r="C132" s="485"/>
      <c r="D132" s="485"/>
      <c r="E132" s="485"/>
      <c r="F132" s="485"/>
      <c r="G132" s="486"/>
      <c r="H132" s="487"/>
      <c r="I132" s="484"/>
      <c r="J132" s="485"/>
      <c r="K132" s="485"/>
      <c r="L132" s="485"/>
      <c r="M132" s="485"/>
      <c r="N132" s="486"/>
      <c r="O132" s="487"/>
      <c r="P132" s="485"/>
      <c r="Q132" s="485"/>
      <c r="R132" s="485"/>
      <c r="S132" s="485"/>
      <c r="T132" s="485"/>
      <c r="U132" s="486" t="s">
        <v>1209</v>
      </c>
      <c r="V132" s="486">
        <v>1</v>
      </c>
      <c r="W132" s="484"/>
      <c r="X132" s="485"/>
      <c r="Y132" s="485"/>
      <c r="Z132" s="485"/>
      <c r="AA132" s="485"/>
      <c r="AB132" s="486"/>
      <c r="AC132" s="487"/>
      <c r="AD132" s="486" t="s">
        <v>1206</v>
      </c>
      <c r="AE132" s="458" t="str">
        <f t="shared" si="15"/>
        <v/>
      </c>
      <c r="AF132" t="str">
        <f t="shared" si="16"/>
        <v/>
      </c>
      <c r="AG132">
        <f t="shared" si="17"/>
        <v>60</v>
      </c>
      <c r="AH132" t="str">
        <f t="shared" si="18"/>
        <v/>
      </c>
      <c r="AI132" s="488"/>
      <c r="AJ132" s="490"/>
      <c r="AK132" s="490"/>
    </row>
    <row r="133" spans="1:37" x14ac:dyDescent="0.25">
      <c r="A133" s="483" t="s">
        <v>685</v>
      </c>
      <c r="B133" s="484"/>
      <c r="C133" s="485"/>
      <c r="D133" s="485"/>
      <c r="E133" s="485"/>
      <c r="F133" s="485"/>
      <c r="G133" s="486"/>
      <c r="H133" s="487"/>
      <c r="I133" s="484"/>
      <c r="J133" s="485"/>
      <c r="K133" s="485"/>
      <c r="L133" s="485"/>
      <c r="M133" s="485"/>
      <c r="N133" s="486"/>
      <c r="O133" s="487"/>
      <c r="P133" s="485"/>
      <c r="Q133" s="485"/>
      <c r="R133" s="485"/>
      <c r="S133" s="485"/>
      <c r="T133" s="485"/>
      <c r="U133" s="486"/>
      <c r="V133" s="486"/>
      <c r="W133" s="484"/>
      <c r="X133" s="485"/>
      <c r="Y133" s="485"/>
      <c r="Z133" s="485"/>
      <c r="AA133" s="485"/>
      <c r="AB133" s="486"/>
      <c r="AC133" s="487"/>
      <c r="AD133" s="486"/>
      <c r="AE133" s="458" t="str">
        <f t="shared" si="15"/>
        <v/>
      </c>
      <c r="AF133" t="str">
        <f t="shared" si="16"/>
        <v/>
      </c>
      <c r="AG133" t="str">
        <f t="shared" si="17"/>
        <v/>
      </c>
      <c r="AH133" t="str">
        <f t="shared" si="18"/>
        <v/>
      </c>
      <c r="AI133" s="488"/>
      <c r="AJ133" s="490"/>
      <c r="AK133" s="490"/>
    </row>
    <row r="134" spans="1:37" x14ac:dyDescent="0.25">
      <c r="A134" s="483" t="s">
        <v>249</v>
      </c>
      <c r="B134" s="484"/>
      <c r="C134" s="485"/>
      <c r="D134" s="485"/>
      <c r="E134" s="485"/>
      <c r="F134" s="485"/>
      <c r="G134" s="486" t="s">
        <v>1205</v>
      </c>
      <c r="H134" s="487">
        <v>2</v>
      </c>
      <c r="I134" s="484"/>
      <c r="J134" s="485"/>
      <c r="K134" s="485"/>
      <c r="L134" s="485"/>
      <c r="M134" s="485"/>
      <c r="N134" s="486"/>
      <c r="O134" s="487"/>
      <c r="P134" s="485"/>
      <c r="Q134" s="485"/>
      <c r="R134" s="485"/>
      <c r="S134" s="485"/>
      <c r="T134" s="485"/>
      <c r="U134" s="486" t="s">
        <v>1208</v>
      </c>
      <c r="V134" s="486">
        <v>1</v>
      </c>
      <c r="W134" s="484"/>
      <c r="X134" s="485"/>
      <c r="Y134" s="485"/>
      <c r="Z134" s="485"/>
      <c r="AA134" s="485"/>
      <c r="AB134" s="486"/>
      <c r="AC134" s="487"/>
      <c r="AD134" s="486" t="s">
        <v>1206</v>
      </c>
      <c r="AE134" s="458">
        <f t="shared" si="15"/>
        <v>35</v>
      </c>
      <c r="AF134" t="str">
        <f t="shared" si="16"/>
        <v/>
      </c>
      <c r="AG134">
        <f t="shared" si="17"/>
        <v>45</v>
      </c>
      <c r="AH134" t="str">
        <f t="shared" si="18"/>
        <v/>
      </c>
      <c r="AI134" s="488"/>
      <c r="AJ134" s="490">
        <v>475</v>
      </c>
      <c r="AK134" s="490" t="s">
        <v>1207</v>
      </c>
    </row>
    <row r="135" spans="1:37" x14ac:dyDescent="0.25">
      <c r="A135" s="483" t="s">
        <v>251</v>
      </c>
      <c r="B135" s="484"/>
      <c r="C135" s="485"/>
      <c r="D135" s="485"/>
      <c r="E135" s="485"/>
      <c r="F135" s="485"/>
      <c r="G135" s="486" t="s">
        <v>1208</v>
      </c>
      <c r="H135" s="487">
        <v>2</v>
      </c>
      <c r="I135" s="484"/>
      <c r="J135" s="485"/>
      <c r="K135" s="485"/>
      <c r="L135" s="485"/>
      <c r="M135" s="485"/>
      <c r="N135" s="486"/>
      <c r="O135" s="487"/>
      <c r="P135" s="485"/>
      <c r="Q135" s="485"/>
      <c r="R135" s="485"/>
      <c r="S135" s="485"/>
      <c r="T135" s="485"/>
      <c r="U135" s="486" t="s">
        <v>1208</v>
      </c>
      <c r="V135" s="486">
        <v>1</v>
      </c>
      <c r="W135" s="484"/>
      <c r="X135" s="485"/>
      <c r="Y135" s="485"/>
      <c r="Z135" s="485"/>
      <c r="AA135" s="485"/>
      <c r="AB135" s="486"/>
      <c r="AC135" s="487"/>
      <c r="AD135" s="486" t="s">
        <v>1206</v>
      </c>
      <c r="AE135" s="458">
        <f t="shared" si="15"/>
        <v>35</v>
      </c>
      <c r="AF135" t="str">
        <f t="shared" si="16"/>
        <v/>
      </c>
      <c r="AG135">
        <f t="shared" si="17"/>
        <v>45</v>
      </c>
      <c r="AH135" t="str">
        <f t="shared" si="18"/>
        <v/>
      </c>
      <c r="AI135" s="488"/>
      <c r="AJ135" s="490">
        <v>473</v>
      </c>
      <c r="AK135" s="490" t="s">
        <v>1207</v>
      </c>
    </row>
    <row r="136" spans="1:37" x14ac:dyDescent="0.25">
      <c r="A136" s="483" t="s">
        <v>687</v>
      </c>
      <c r="B136" s="484"/>
      <c r="C136" s="485"/>
      <c r="D136" s="485"/>
      <c r="E136" s="485"/>
      <c r="F136" s="485"/>
      <c r="G136" s="486"/>
      <c r="H136" s="487"/>
      <c r="I136" s="484"/>
      <c r="J136" s="485"/>
      <c r="K136" s="485"/>
      <c r="L136" s="485"/>
      <c r="M136" s="485"/>
      <c r="N136" s="486"/>
      <c r="O136" s="487"/>
      <c r="P136" s="485"/>
      <c r="Q136" s="485"/>
      <c r="R136" s="485"/>
      <c r="S136" s="485"/>
      <c r="T136" s="485"/>
      <c r="U136" s="486"/>
      <c r="V136" s="486"/>
      <c r="W136" s="484"/>
      <c r="X136" s="485"/>
      <c r="Y136" s="485"/>
      <c r="Z136" s="485"/>
      <c r="AA136" s="485"/>
      <c r="AB136" s="486"/>
      <c r="AC136" s="487"/>
      <c r="AD136" s="486"/>
      <c r="AE136" s="458" t="str">
        <f t="shared" si="15"/>
        <v/>
      </c>
      <c r="AF136" t="str">
        <f t="shared" si="16"/>
        <v/>
      </c>
      <c r="AG136" t="str">
        <f t="shared" si="17"/>
        <v/>
      </c>
      <c r="AH136" t="str">
        <f t="shared" si="18"/>
        <v/>
      </c>
      <c r="AI136" s="488"/>
      <c r="AJ136" s="490"/>
      <c r="AK136" s="490"/>
    </row>
    <row r="137" spans="1:37" x14ac:dyDescent="0.25">
      <c r="A137" s="483" t="s">
        <v>253</v>
      </c>
      <c r="B137" s="484"/>
      <c r="C137" s="485"/>
      <c r="D137" s="485"/>
      <c r="E137" s="485"/>
      <c r="F137" s="485"/>
      <c r="G137" s="486"/>
      <c r="H137" s="487">
        <v>2</v>
      </c>
      <c r="I137" s="484"/>
      <c r="J137" s="485"/>
      <c r="K137" s="485"/>
      <c r="L137" s="485"/>
      <c r="M137" s="485"/>
      <c r="N137" s="486"/>
      <c r="O137" s="487"/>
      <c r="P137" s="485"/>
      <c r="Q137" s="485"/>
      <c r="R137" s="485"/>
      <c r="S137" s="485"/>
      <c r="T137" s="485"/>
      <c r="U137" s="486"/>
      <c r="V137" s="486"/>
      <c r="W137" s="484"/>
      <c r="X137" s="485"/>
      <c r="Y137" s="485"/>
      <c r="Z137" s="485"/>
      <c r="AA137" s="485"/>
      <c r="AB137" s="486"/>
      <c r="AC137" s="487"/>
      <c r="AD137" s="486" t="s">
        <v>1206</v>
      </c>
      <c r="AE137" s="458" t="str">
        <f t="shared" si="15"/>
        <v/>
      </c>
      <c r="AF137" t="str">
        <f t="shared" si="16"/>
        <v/>
      </c>
      <c r="AG137" t="str">
        <f t="shared" si="17"/>
        <v/>
      </c>
      <c r="AH137" t="str">
        <f t="shared" si="18"/>
        <v/>
      </c>
      <c r="AI137" s="488"/>
      <c r="AJ137" s="490">
        <v>477</v>
      </c>
      <c r="AK137" s="490" t="s">
        <v>1207</v>
      </c>
    </row>
    <row r="138" spans="1:37" x14ac:dyDescent="0.25">
      <c r="A138" s="483" t="s">
        <v>689</v>
      </c>
      <c r="B138" s="484"/>
      <c r="C138" s="485"/>
      <c r="D138" s="485"/>
      <c r="E138" s="485"/>
      <c r="F138" s="485"/>
      <c r="G138" s="486"/>
      <c r="H138" s="487"/>
      <c r="I138" s="484"/>
      <c r="J138" s="485"/>
      <c r="K138" s="485"/>
      <c r="L138" s="485"/>
      <c r="M138" s="485"/>
      <c r="N138" s="486"/>
      <c r="O138" s="487"/>
      <c r="P138" s="485"/>
      <c r="Q138" s="485"/>
      <c r="R138" s="485"/>
      <c r="S138" s="485"/>
      <c r="T138" s="485"/>
      <c r="U138" s="486" t="s">
        <v>1208</v>
      </c>
      <c r="V138" s="486">
        <v>1</v>
      </c>
      <c r="W138" s="484"/>
      <c r="X138" s="485"/>
      <c r="Y138" s="485"/>
      <c r="Z138" s="485"/>
      <c r="AA138" s="485"/>
      <c r="AB138" s="486"/>
      <c r="AC138" s="487"/>
      <c r="AD138" s="486"/>
      <c r="AE138" s="458" t="str">
        <f t="shared" si="15"/>
        <v/>
      </c>
      <c r="AF138" t="str">
        <f t="shared" si="16"/>
        <v/>
      </c>
      <c r="AG138">
        <f t="shared" si="17"/>
        <v>45</v>
      </c>
      <c r="AH138" t="str">
        <f t="shared" si="18"/>
        <v/>
      </c>
      <c r="AI138" s="488"/>
      <c r="AJ138" s="490"/>
      <c r="AK138" s="490"/>
    </row>
    <row r="139" spans="1:37" x14ac:dyDescent="0.25">
      <c r="A139" s="483" t="s">
        <v>255</v>
      </c>
      <c r="B139" s="484"/>
      <c r="C139" s="485"/>
      <c r="D139" s="485"/>
      <c r="E139" s="485"/>
      <c r="F139" s="485"/>
      <c r="G139" s="486"/>
      <c r="H139" s="487">
        <v>2</v>
      </c>
      <c r="I139" s="484"/>
      <c r="J139" s="485"/>
      <c r="K139" s="485"/>
      <c r="L139" s="485"/>
      <c r="M139" s="485"/>
      <c r="N139" s="486"/>
      <c r="O139" s="487"/>
      <c r="P139" s="485"/>
      <c r="Q139" s="485"/>
      <c r="R139" s="485"/>
      <c r="S139" s="485"/>
      <c r="T139" s="485"/>
      <c r="U139" s="486"/>
      <c r="V139" s="486"/>
      <c r="W139" s="484"/>
      <c r="X139" s="485"/>
      <c r="Y139" s="485"/>
      <c r="Z139" s="485"/>
      <c r="AA139" s="485"/>
      <c r="AB139" s="486"/>
      <c r="AC139" s="487"/>
      <c r="AD139" s="486" t="s">
        <v>1206</v>
      </c>
      <c r="AE139" s="458" t="str">
        <f t="shared" si="15"/>
        <v/>
      </c>
      <c r="AF139" t="str">
        <f t="shared" si="16"/>
        <v/>
      </c>
      <c r="AG139" t="str">
        <f t="shared" si="17"/>
        <v/>
      </c>
      <c r="AH139" t="str">
        <f t="shared" si="18"/>
        <v/>
      </c>
      <c r="AI139" s="488"/>
      <c r="AJ139" s="490">
        <v>132</v>
      </c>
      <c r="AK139" s="490" t="s">
        <v>1207</v>
      </c>
    </row>
    <row r="140" spans="1:37" x14ac:dyDescent="0.25">
      <c r="A140" s="483" t="s">
        <v>257</v>
      </c>
      <c r="B140" s="484"/>
      <c r="C140" s="485"/>
      <c r="D140" s="485"/>
      <c r="E140" s="485"/>
      <c r="F140" s="485"/>
      <c r="G140" s="486" t="s">
        <v>1205</v>
      </c>
      <c r="H140" s="487">
        <v>2</v>
      </c>
      <c r="I140" s="484"/>
      <c r="J140" s="485"/>
      <c r="K140" s="485"/>
      <c r="L140" s="485"/>
      <c r="M140" s="485"/>
      <c r="N140" s="486"/>
      <c r="O140" s="487"/>
      <c r="P140" s="485"/>
      <c r="Q140" s="485"/>
      <c r="R140" s="485"/>
      <c r="S140" s="485"/>
      <c r="T140" s="485"/>
      <c r="U140" s="486" t="s">
        <v>1209</v>
      </c>
      <c r="V140" s="486">
        <v>1</v>
      </c>
      <c r="W140" s="484"/>
      <c r="X140" s="485"/>
      <c r="Y140" s="485"/>
      <c r="Z140" s="485"/>
      <c r="AA140" s="485"/>
      <c r="AB140" s="486"/>
      <c r="AC140" s="487"/>
      <c r="AD140" s="486" t="s">
        <v>1206</v>
      </c>
      <c r="AE140" s="458">
        <f t="shared" si="15"/>
        <v>35</v>
      </c>
      <c r="AF140" t="str">
        <f t="shared" si="16"/>
        <v/>
      </c>
      <c r="AG140">
        <f t="shared" si="17"/>
        <v>60</v>
      </c>
      <c r="AH140" t="str">
        <f t="shared" si="18"/>
        <v/>
      </c>
      <c r="AI140" s="488"/>
      <c r="AJ140" s="489"/>
      <c r="AK140" s="490" t="s">
        <v>1207</v>
      </c>
    </row>
    <row r="141" spans="1:37" x14ac:dyDescent="0.25">
      <c r="A141" s="483" t="s">
        <v>258</v>
      </c>
      <c r="B141" s="484"/>
      <c r="C141" s="485"/>
      <c r="D141" s="485"/>
      <c r="E141" s="485"/>
      <c r="F141" s="485"/>
      <c r="G141" s="486"/>
      <c r="H141" s="487"/>
      <c r="I141" s="484"/>
      <c r="J141" s="485"/>
      <c r="K141" s="485"/>
      <c r="L141" s="485"/>
      <c r="M141" s="485"/>
      <c r="N141" s="486"/>
      <c r="O141" s="487"/>
      <c r="P141" s="485"/>
      <c r="Q141" s="485"/>
      <c r="R141" s="485"/>
      <c r="S141" s="485"/>
      <c r="T141" s="485"/>
      <c r="U141" s="486"/>
      <c r="V141" s="486"/>
      <c r="W141" s="484"/>
      <c r="X141" s="485"/>
      <c r="Y141" s="485"/>
      <c r="Z141" s="485"/>
      <c r="AA141" s="485"/>
      <c r="AB141" s="486"/>
      <c r="AC141" s="487"/>
      <c r="AD141" s="486" t="s">
        <v>1206</v>
      </c>
      <c r="AE141" s="458" t="str">
        <f t="shared" si="15"/>
        <v/>
      </c>
      <c r="AF141" t="str">
        <f t="shared" si="16"/>
        <v/>
      </c>
      <c r="AG141" t="str">
        <f t="shared" si="17"/>
        <v/>
      </c>
      <c r="AH141" t="str">
        <f t="shared" si="18"/>
        <v/>
      </c>
      <c r="AI141" s="488"/>
      <c r="AJ141" s="489"/>
      <c r="AK141" s="490" t="s">
        <v>1207</v>
      </c>
    </row>
    <row r="142" spans="1:37" x14ac:dyDescent="0.25">
      <c r="A142" s="483" t="s">
        <v>261</v>
      </c>
      <c r="B142" s="484" t="s">
        <v>66</v>
      </c>
      <c r="C142" s="485" t="s">
        <v>66</v>
      </c>
      <c r="D142" s="485" t="s">
        <v>66</v>
      </c>
      <c r="E142" s="485"/>
      <c r="F142" s="485"/>
      <c r="G142" s="486" t="s">
        <v>1205</v>
      </c>
      <c r="H142" s="487">
        <v>1</v>
      </c>
      <c r="I142" s="484"/>
      <c r="J142" s="485"/>
      <c r="K142" s="485"/>
      <c r="L142" s="485"/>
      <c r="M142" s="485"/>
      <c r="N142" s="486" t="s">
        <v>1209</v>
      </c>
      <c r="O142" s="487">
        <v>1</v>
      </c>
      <c r="P142" s="485"/>
      <c r="Q142" s="485"/>
      <c r="R142" s="485"/>
      <c r="S142" s="485"/>
      <c r="T142" s="485"/>
      <c r="U142" s="486" t="s">
        <v>1208</v>
      </c>
      <c r="V142" s="486">
        <v>1</v>
      </c>
      <c r="W142" s="484"/>
      <c r="X142" s="485"/>
      <c r="Y142" s="485"/>
      <c r="Z142" s="485"/>
      <c r="AA142" s="485"/>
      <c r="AB142" s="486"/>
      <c r="AC142" s="487"/>
      <c r="AD142" s="486" t="s">
        <v>1206</v>
      </c>
      <c r="AE142" s="458">
        <f t="shared" si="15"/>
        <v>35</v>
      </c>
      <c r="AF142">
        <f t="shared" si="16"/>
        <v>55</v>
      </c>
      <c r="AG142">
        <f t="shared" si="17"/>
        <v>45</v>
      </c>
      <c r="AH142" t="str">
        <f t="shared" si="18"/>
        <v/>
      </c>
      <c r="AI142" s="488"/>
      <c r="AJ142" s="490">
        <v>74</v>
      </c>
      <c r="AK142" s="490" t="s">
        <v>1207</v>
      </c>
    </row>
    <row r="143" spans="1:37" x14ac:dyDescent="0.25">
      <c r="A143" s="483" t="s">
        <v>750</v>
      </c>
      <c r="B143" s="484"/>
      <c r="C143" s="485"/>
      <c r="D143" s="485"/>
      <c r="E143" s="485"/>
      <c r="F143" s="485"/>
      <c r="G143" s="486"/>
      <c r="H143" s="487"/>
      <c r="I143" s="484"/>
      <c r="J143" s="485"/>
      <c r="K143" s="485"/>
      <c r="L143" s="485"/>
      <c r="M143" s="485"/>
      <c r="N143" s="486"/>
      <c r="O143" s="487"/>
      <c r="P143" s="485"/>
      <c r="Q143" s="485"/>
      <c r="R143" s="485"/>
      <c r="S143" s="485"/>
      <c r="T143" s="485"/>
      <c r="U143" s="486"/>
      <c r="V143" s="486"/>
      <c r="W143" s="484"/>
      <c r="X143" s="485"/>
      <c r="Y143" s="485"/>
      <c r="Z143" s="485"/>
      <c r="AA143" s="485"/>
      <c r="AB143" s="486"/>
      <c r="AC143" s="487"/>
      <c r="AD143" s="486"/>
      <c r="AE143" s="458" t="str">
        <f t="shared" si="15"/>
        <v/>
      </c>
      <c r="AF143" t="str">
        <f t="shared" si="16"/>
        <v/>
      </c>
      <c r="AG143" t="str">
        <f t="shared" si="17"/>
        <v/>
      </c>
      <c r="AH143" t="str">
        <f t="shared" si="18"/>
        <v/>
      </c>
      <c r="AI143" s="488"/>
      <c r="AJ143" s="490"/>
      <c r="AK143" s="490"/>
    </row>
    <row r="144" spans="1:37" x14ac:dyDescent="0.25">
      <c r="A144" s="483" t="s">
        <v>263</v>
      </c>
      <c r="B144" s="484"/>
      <c r="C144" s="485"/>
      <c r="D144" s="485"/>
      <c r="E144" s="485"/>
      <c r="F144" s="485"/>
      <c r="G144" s="486" t="s">
        <v>1205</v>
      </c>
      <c r="H144" s="487">
        <v>1</v>
      </c>
      <c r="I144" s="484"/>
      <c r="J144" s="485"/>
      <c r="K144" s="485"/>
      <c r="L144" s="485"/>
      <c r="M144" s="485"/>
      <c r="N144" s="486"/>
      <c r="O144" s="487"/>
      <c r="P144" s="485"/>
      <c r="Q144" s="485"/>
      <c r="R144" s="485"/>
      <c r="S144" s="485"/>
      <c r="T144" s="485"/>
      <c r="U144" s="486"/>
      <c r="V144" s="486"/>
      <c r="W144" s="484"/>
      <c r="X144" s="485"/>
      <c r="Y144" s="485"/>
      <c r="Z144" s="485"/>
      <c r="AA144" s="485"/>
      <c r="AB144" s="486"/>
      <c r="AC144" s="487"/>
      <c r="AD144" s="486" t="s">
        <v>1206</v>
      </c>
      <c r="AE144" s="458">
        <f t="shared" si="15"/>
        <v>35</v>
      </c>
      <c r="AF144" t="str">
        <f t="shared" si="16"/>
        <v/>
      </c>
      <c r="AG144" t="str">
        <f t="shared" si="17"/>
        <v/>
      </c>
      <c r="AH144" t="str">
        <f t="shared" si="18"/>
        <v/>
      </c>
      <c r="AI144" s="488"/>
      <c r="AJ144" s="490">
        <v>75</v>
      </c>
      <c r="AK144" s="490" t="s">
        <v>1207</v>
      </c>
    </row>
    <row r="145" spans="1:37" x14ac:dyDescent="0.25">
      <c r="A145" s="483" t="s">
        <v>265</v>
      </c>
      <c r="B145" s="484"/>
      <c r="C145" s="485"/>
      <c r="D145" s="485"/>
      <c r="E145" s="485"/>
      <c r="F145" s="485"/>
      <c r="G145" s="486"/>
      <c r="H145" s="487">
        <v>1</v>
      </c>
      <c r="I145" s="484"/>
      <c r="J145" s="485"/>
      <c r="K145" s="485"/>
      <c r="L145" s="485"/>
      <c r="M145" s="485"/>
      <c r="N145" s="486"/>
      <c r="O145" s="487"/>
      <c r="P145" s="485"/>
      <c r="Q145" s="485"/>
      <c r="R145" s="485"/>
      <c r="S145" s="485"/>
      <c r="T145" s="485"/>
      <c r="U145" s="486"/>
      <c r="V145" s="486"/>
      <c r="W145" s="484"/>
      <c r="X145" s="485"/>
      <c r="Y145" s="485"/>
      <c r="Z145" s="485"/>
      <c r="AA145" s="485"/>
      <c r="AB145" s="486"/>
      <c r="AC145" s="487"/>
      <c r="AD145" s="486" t="s">
        <v>1206</v>
      </c>
      <c r="AE145" s="458" t="str">
        <f t="shared" si="15"/>
        <v/>
      </c>
      <c r="AF145" t="str">
        <f t="shared" si="16"/>
        <v/>
      </c>
      <c r="AG145" t="str">
        <f t="shared" si="17"/>
        <v/>
      </c>
      <c r="AH145" t="str">
        <f t="shared" si="18"/>
        <v/>
      </c>
      <c r="AI145" s="488"/>
      <c r="AJ145" s="490">
        <v>223</v>
      </c>
      <c r="AK145" s="490" t="s">
        <v>1207</v>
      </c>
    </row>
    <row r="146" spans="1:37" x14ac:dyDescent="0.25">
      <c r="A146" s="483" t="s">
        <v>1357</v>
      </c>
      <c r="B146" s="484"/>
      <c r="C146" s="485"/>
      <c r="D146" s="485"/>
      <c r="E146" s="485"/>
      <c r="F146" s="485"/>
      <c r="G146" s="486"/>
      <c r="H146" s="487"/>
      <c r="I146" s="484"/>
      <c r="J146" s="485"/>
      <c r="K146" s="485"/>
      <c r="L146" s="485"/>
      <c r="M146" s="485"/>
      <c r="N146" s="486" t="s">
        <v>1205</v>
      </c>
      <c r="O146" s="487">
        <v>2</v>
      </c>
      <c r="P146" s="485"/>
      <c r="Q146" s="485"/>
      <c r="R146" s="485"/>
      <c r="S146" s="485"/>
      <c r="T146" s="485"/>
      <c r="U146" s="486"/>
      <c r="V146" s="486"/>
      <c r="W146" s="484"/>
      <c r="X146" s="485"/>
      <c r="Y146" s="485"/>
      <c r="Z146" s="485"/>
      <c r="AA146" s="485"/>
      <c r="AB146" s="486"/>
      <c r="AC146" s="487"/>
      <c r="AD146" s="486" t="s">
        <v>1206</v>
      </c>
      <c r="AE146" s="458" t="str">
        <f t="shared" si="15"/>
        <v/>
      </c>
      <c r="AF146">
        <f t="shared" si="16"/>
        <v>35</v>
      </c>
      <c r="AG146" t="str">
        <f t="shared" si="17"/>
        <v/>
      </c>
      <c r="AH146" t="str">
        <f t="shared" si="18"/>
        <v/>
      </c>
      <c r="AI146" s="488">
        <v>500</v>
      </c>
      <c r="AJ146" s="490">
        <v>76</v>
      </c>
      <c r="AK146" s="490" t="s">
        <v>1207</v>
      </c>
    </row>
    <row r="147" spans="1:37" x14ac:dyDescent="0.25">
      <c r="A147" s="483" t="s">
        <v>267</v>
      </c>
      <c r="B147" s="484" t="s">
        <v>56</v>
      </c>
      <c r="C147" s="485"/>
      <c r="D147" s="485" t="s">
        <v>66</v>
      </c>
      <c r="E147" s="485" t="s">
        <v>66</v>
      </c>
      <c r="F147" s="485"/>
      <c r="G147" s="486" t="s">
        <v>1209</v>
      </c>
      <c r="H147" s="487">
        <v>3</v>
      </c>
      <c r="I147" s="484"/>
      <c r="J147" s="485"/>
      <c r="K147" s="485"/>
      <c r="L147" s="485"/>
      <c r="M147" s="485"/>
      <c r="N147" s="486" t="s">
        <v>1205</v>
      </c>
      <c r="O147" s="487">
        <v>2</v>
      </c>
      <c r="P147" s="485"/>
      <c r="Q147" s="485"/>
      <c r="R147" s="485"/>
      <c r="S147" s="485"/>
      <c r="T147" s="485"/>
      <c r="U147" s="486"/>
      <c r="V147" s="486"/>
      <c r="W147" s="484"/>
      <c r="X147" s="485"/>
      <c r="Y147" s="485"/>
      <c r="Z147" s="485"/>
      <c r="AA147" s="485"/>
      <c r="AB147" s="486"/>
      <c r="AC147" s="487"/>
      <c r="AD147" s="486" t="s">
        <v>1206</v>
      </c>
      <c r="AE147" s="458">
        <f t="shared" si="15"/>
        <v>55</v>
      </c>
      <c r="AF147">
        <f t="shared" si="16"/>
        <v>35</v>
      </c>
      <c r="AG147" t="str">
        <f t="shared" si="17"/>
        <v/>
      </c>
      <c r="AH147" t="str">
        <f t="shared" si="18"/>
        <v/>
      </c>
      <c r="AI147" s="488">
        <v>500</v>
      </c>
      <c r="AJ147" s="490">
        <v>76</v>
      </c>
      <c r="AK147" s="490" t="s">
        <v>1207</v>
      </c>
    </row>
    <row r="148" spans="1:37" x14ac:dyDescent="0.25">
      <c r="A148" s="483" t="s">
        <v>270</v>
      </c>
      <c r="B148" s="484"/>
      <c r="C148" s="485"/>
      <c r="D148" s="485"/>
      <c r="E148" s="485"/>
      <c r="F148" s="485"/>
      <c r="G148" s="486" t="s">
        <v>1205</v>
      </c>
      <c r="H148" s="487">
        <v>2</v>
      </c>
      <c r="I148" s="484" t="s">
        <v>66</v>
      </c>
      <c r="J148" s="485" t="s">
        <v>66</v>
      </c>
      <c r="K148" s="485" t="s">
        <v>66</v>
      </c>
      <c r="L148" s="485" t="s">
        <v>66</v>
      </c>
      <c r="M148" s="485"/>
      <c r="N148" s="486" t="s">
        <v>1208</v>
      </c>
      <c r="O148" s="487">
        <v>2</v>
      </c>
      <c r="P148" s="485"/>
      <c r="Q148" s="485"/>
      <c r="R148" s="485"/>
      <c r="S148" s="485"/>
      <c r="T148" s="485"/>
      <c r="U148" s="486"/>
      <c r="V148" s="486"/>
      <c r="W148" s="484"/>
      <c r="X148" s="485"/>
      <c r="Y148" s="485"/>
      <c r="Z148" s="485"/>
      <c r="AA148" s="485"/>
      <c r="AB148" s="486"/>
      <c r="AC148" s="487"/>
      <c r="AD148" s="486" t="s">
        <v>1206</v>
      </c>
      <c r="AE148" s="458">
        <f t="shared" ref="AE148:AE179" si="19">IF(G148="S",25,IF(G148="M",35,IF(G148="L",55,"")))</f>
        <v>35</v>
      </c>
      <c r="AF148">
        <f t="shared" ref="AF148:AF179" si="20">IF(N148="S",25,IF(N148="M",35,IF(N148="L",55,"")))</f>
        <v>35</v>
      </c>
      <c r="AG148" t="str">
        <f t="shared" ref="AG148:AG179" si="21">IF(U148="S",30,IF(U148="M",45,IF(U148="L",60,"")))</f>
        <v/>
      </c>
      <c r="AH148" t="str">
        <f t="shared" ref="AH148:AH179" si="22">IF(AB148="S",30,IF(AB148="M",45,IF(AB148="L",60,"")))</f>
        <v/>
      </c>
      <c r="AI148" s="488">
        <v>200</v>
      </c>
      <c r="AJ148" s="490">
        <v>77</v>
      </c>
      <c r="AK148" s="490" t="s">
        <v>1207</v>
      </c>
    </row>
    <row r="149" spans="1:37" x14ac:dyDescent="0.25">
      <c r="A149" s="483" t="s">
        <v>273</v>
      </c>
      <c r="B149" s="484"/>
      <c r="C149" s="485"/>
      <c r="D149" s="485"/>
      <c r="E149" s="485"/>
      <c r="F149" s="485"/>
      <c r="G149" s="486" t="s">
        <v>1205</v>
      </c>
      <c r="H149" s="487">
        <v>2</v>
      </c>
      <c r="I149" s="484"/>
      <c r="J149" s="485"/>
      <c r="K149" s="485"/>
      <c r="L149" s="485"/>
      <c r="M149" s="485"/>
      <c r="N149" s="486"/>
      <c r="O149" s="487">
        <v>3</v>
      </c>
      <c r="P149" s="485"/>
      <c r="Q149" s="485"/>
      <c r="R149" s="485"/>
      <c r="S149" s="485"/>
      <c r="T149" s="485"/>
      <c r="U149" s="486"/>
      <c r="V149" s="486"/>
      <c r="W149" s="484"/>
      <c r="X149" s="485"/>
      <c r="Y149" s="485"/>
      <c r="Z149" s="485"/>
      <c r="AA149" s="485"/>
      <c r="AB149" s="486"/>
      <c r="AC149" s="487"/>
      <c r="AD149" s="486" t="s">
        <v>1206</v>
      </c>
      <c r="AE149" s="458">
        <f t="shared" si="19"/>
        <v>35</v>
      </c>
      <c r="AF149" t="str">
        <f t="shared" si="20"/>
        <v/>
      </c>
      <c r="AG149" t="str">
        <f t="shared" si="21"/>
        <v/>
      </c>
      <c r="AH149" t="str">
        <f t="shared" si="22"/>
        <v/>
      </c>
      <c r="AI149" s="488"/>
      <c r="AJ149" s="490">
        <v>78</v>
      </c>
      <c r="AK149" s="490" t="s">
        <v>1207</v>
      </c>
    </row>
    <row r="150" spans="1:37" x14ac:dyDescent="0.25">
      <c r="A150" s="483" t="s">
        <v>276</v>
      </c>
      <c r="B150" s="484" t="s">
        <v>66</v>
      </c>
      <c r="C150" s="485"/>
      <c r="D150" s="485" t="s">
        <v>66</v>
      </c>
      <c r="E150" s="485" t="s">
        <v>66</v>
      </c>
      <c r="F150" s="485"/>
      <c r="G150" s="486" t="s">
        <v>1209</v>
      </c>
      <c r="H150" s="487">
        <v>3</v>
      </c>
      <c r="I150" s="484"/>
      <c r="J150" s="485"/>
      <c r="K150" s="485"/>
      <c r="L150" s="485"/>
      <c r="M150" s="485"/>
      <c r="N150" s="486"/>
      <c r="O150" s="487"/>
      <c r="P150" s="485"/>
      <c r="Q150" s="485"/>
      <c r="R150" s="485"/>
      <c r="S150" s="485"/>
      <c r="T150" s="485"/>
      <c r="U150" s="486"/>
      <c r="V150" s="486"/>
      <c r="W150" s="484"/>
      <c r="X150" s="485"/>
      <c r="Y150" s="485"/>
      <c r="Z150" s="485"/>
      <c r="AA150" s="485"/>
      <c r="AB150" s="486"/>
      <c r="AC150" s="487"/>
      <c r="AD150" s="486" t="s">
        <v>1206</v>
      </c>
      <c r="AE150" s="458">
        <f t="shared" si="19"/>
        <v>55</v>
      </c>
      <c r="AF150" t="str">
        <f t="shared" si="20"/>
        <v/>
      </c>
      <c r="AG150" t="str">
        <f t="shared" si="21"/>
        <v/>
      </c>
      <c r="AH150" t="str">
        <f t="shared" si="22"/>
        <v/>
      </c>
      <c r="AI150" s="488">
        <v>500</v>
      </c>
      <c r="AJ150" s="490">
        <v>224</v>
      </c>
      <c r="AK150" s="490" t="s">
        <v>1207</v>
      </c>
    </row>
    <row r="151" spans="1:37" x14ac:dyDescent="0.25">
      <c r="A151" s="483" t="s">
        <v>691</v>
      </c>
      <c r="B151" s="491"/>
      <c r="C151" s="492"/>
      <c r="D151" s="492"/>
      <c r="E151" s="492"/>
      <c r="F151" s="492"/>
      <c r="G151" s="493"/>
      <c r="H151" s="494"/>
      <c r="I151" s="484"/>
      <c r="J151" s="485"/>
      <c r="K151" s="485"/>
      <c r="L151" s="485"/>
      <c r="M151" s="485"/>
      <c r="N151" s="486"/>
      <c r="O151" s="487">
        <v>2</v>
      </c>
      <c r="P151" s="485"/>
      <c r="Q151" s="485"/>
      <c r="R151" s="485"/>
      <c r="S151" s="485"/>
      <c r="T151" s="485"/>
      <c r="U151" s="486"/>
      <c r="V151" s="486"/>
      <c r="W151" s="484"/>
      <c r="X151" s="485"/>
      <c r="Y151" s="485"/>
      <c r="Z151" s="485"/>
      <c r="AA151" s="485"/>
      <c r="AB151" s="486"/>
      <c r="AC151" s="487"/>
      <c r="AD151" s="486"/>
      <c r="AE151" s="458" t="str">
        <f t="shared" si="19"/>
        <v/>
      </c>
      <c r="AF151" t="str">
        <f t="shared" si="20"/>
        <v/>
      </c>
      <c r="AG151" t="str">
        <f t="shared" si="21"/>
        <v/>
      </c>
      <c r="AH151" t="str">
        <f t="shared" si="22"/>
        <v/>
      </c>
      <c r="AI151" s="488"/>
      <c r="AJ151" s="490"/>
      <c r="AK151" s="490"/>
    </row>
    <row r="152" spans="1:37" x14ac:dyDescent="0.25">
      <c r="A152" s="483" t="s">
        <v>279</v>
      </c>
      <c r="B152" s="484"/>
      <c r="C152" s="485"/>
      <c r="D152" s="485"/>
      <c r="E152" s="485"/>
      <c r="F152" s="485"/>
      <c r="G152" s="486"/>
      <c r="H152" s="487">
        <v>1</v>
      </c>
      <c r="I152" s="484"/>
      <c r="J152" s="485"/>
      <c r="K152" s="485"/>
      <c r="L152" s="485"/>
      <c r="M152" s="485"/>
      <c r="N152" s="486"/>
      <c r="O152" s="487"/>
      <c r="P152" s="485"/>
      <c r="Q152" s="485"/>
      <c r="R152" s="485"/>
      <c r="S152" s="485"/>
      <c r="T152" s="485"/>
      <c r="U152" s="486"/>
      <c r="V152" s="486"/>
      <c r="W152" s="484"/>
      <c r="X152" s="485"/>
      <c r="Y152" s="485"/>
      <c r="Z152" s="485"/>
      <c r="AA152" s="485"/>
      <c r="AB152" s="486"/>
      <c r="AC152" s="487"/>
      <c r="AD152" s="486" t="s">
        <v>1206</v>
      </c>
      <c r="AE152" s="458" t="str">
        <f t="shared" si="19"/>
        <v/>
      </c>
      <c r="AF152" t="str">
        <f t="shared" si="20"/>
        <v/>
      </c>
      <c r="AG152" t="str">
        <f t="shared" si="21"/>
        <v/>
      </c>
      <c r="AH152" t="str">
        <f t="shared" si="22"/>
        <v/>
      </c>
      <c r="AI152" s="488"/>
      <c r="AJ152" s="490">
        <v>491</v>
      </c>
      <c r="AK152" s="490" t="s">
        <v>1207</v>
      </c>
    </row>
    <row r="153" spans="1:37" x14ac:dyDescent="0.25">
      <c r="A153" s="483" t="s">
        <v>282</v>
      </c>
      <c r="B153" s="484"/>
      <c r="C153" s="485"/>
      <c r="D153" s="485"/>
      <c r="E153" s="485"/>
      <c r="F153" s="485"/>
      <c r="G153" s="486" t="s">
        <v>1208</v>
      </c>
      <c r="H153" s="487">
        <v>1</v>
      </c>
      <c r="I153" s="484"/>
      <c r="J153" s="485"/>
      <c r="K153" s="485"/>
      <c r="L153" s="485"/>
      <c r="M153" s="485"/>
      <c r="N153" s="486"/>
      <c r="O153" s="487"/>
      <c r="P153" s="485"/>
      <c r="Q153" s="485"/>
      <c r="R153" s="485"/>
      <c r="S153" s="485"/>
      <c r="T153" s="485"/>
      <c r="U153" s="486"/>
      <c r="V153" s="486"/>
      <c r="W153" s="484"/>
      <c r="X153" s="485"/>
      <c r="Y153" s="485"/>
      <c r="Z153" s="485"/>
      <c r="AA153" s="485"/>
      <c r="AB153" s="486"/>
      <c r="AC153" s="487"/>
      <c r="AD153" s="486" t="s">
        <v>1206</v>
      </c>
      <c r="AE153" s="458">
        <f t="shared" si="19"/>
        <v>35</v>
      </c>
      <c r="AF153" t="str">
        <f t="shared" si="20"/>
        <v/>
      </c>
      <c r="AG153" t="str">
        <f t="shared" si="21"/>
        <v/>
      </c>
      <c r="AH153" t="str">
        <f t="shared" si="22"/>
        <v/>
      </c>
      <c r="AI153" s="488"/>
      <c r="AJ153" s="490">
        <v>225</v>
      </c>
      <c r="AK153" s="490" t="s">
        <v>1207</v>
      </c>
    </row>
    <row r="154" spans="1:37" x14ac:dyDescent="0.25">
      <c r="A154" s="483" t="s">
        <v>285</v>
      </c>
      <c r="B154" s="484"/>
      <c r="C154" s="485"/>
      <c r="D154" s="485"/>
      <c r="E154" s="485"/>
      <c r="F154" s="485"/>
      <c r="G154" s="486"/>
      <c r="H154" s="487">
        <v>1</v>
      </c>
      <c r="I154" s="484"/>
      <c r="J154" s="485"/>
      <c r="K154" s="485"/>
      <c r="L154" s="485"/>
      <c r="M154" s="485"/>
      <c r="N154" s="486"/>
      <c r="O154" s="487"/>
      <c r="P154" s="485"/>
      <c r="Q154" s="485"/>
      <c r="R154" s="485"/>
      <c r="S154" s="485"/>
      <c r="T154" s="485"/>
      <c r="U154" s="486"/>
      <c r="V154" s="486"/>
      <c r="W154" s="484"/>
      <c r="X154" s="485"/>
      <c r="Y154" s="485"/>
      <c r="Z154" s="485"/>
      <c r="AA154" s="485"/>
      <c r="AB154" s="486"/>
      <c r="AC154" s="487"/>
      <c r="AD154" s="486" t="s">
        <v>1206</v>
      </c>
      <c r="AE154" s="458" t="str">
        <f t="shared" si="19"/>
        <v/>
      </c>
      <c r="AF154" t="str">
        <f t="shared" si="20"/>
        <v/>
      </c>
      <c r="AG154" t="str">
        <f t="shared" si="21"/>
        <v/>
      </c>
      <c r="AH154" t="str">
        <f t="shared" si="22"/>
        <v/>
      </c>
      <c r="AI154" s="488"/>
      <c r="AJ154" s="489"/>
      <c r="AK154" s="490" t="s">
        <v>1207</v>
      </c>
    </row>
    <row r="155" spans="1:37" x14ac:dyDescent="0.25">
      <c r="A155" s="483" t="s">
        <v>287</v>
      </c>
      <c r="B155" s="484" t="s">
        <v>66</v>
      </c>
      <c r="C155" s="485" t="s">
        <v>66</v>
      </c>
      <c r="D155" s="485" t="s">
        <v>66</v>
      </c>
      <c r="E155" s="485"/>
      <c r="F155" s="485"/>
      <c r="G155" s="486" t="s">
        <v>1205</v>
      </c>
      <c r="H155" s="487">
        <v>1</v>
      </c>
      <c r="I155" s="484"/>
      <c r="J155" s="485"/>
      <c r="K155" s="485"/>
      <c r="L155" s="485"/>
      <c r="M155" s="485"/>
      <c r="N155" s="486" t="s">
        <v>1205</v>
      </c>
      <c r="O155" s="487">
        <v>1</v>
      </c>
      <c r="P155" s="485" t="s">
        <v>66</v>
      </c>
      <c r="Q155" s="485"/>
      <c r="R155" s="485" t="s">
        <v>56</v>
      </c>
      <c r="S155" s="485" t="s">
        <v>66</v>
      </c>
      <c r="T155" s="485"/>
      <c r="U155" s="486" t="s">
        <v>1205</v>
      </c>
      <c r="V155" s="486">
        <v>1</v>
      </c>
      <c r="W155" s="484"/>
      <c r="X155" s="485"/>
      <c r="Y155" s="485"/>
      <c r="Z155" s="485"/>
      <c r="AA155" s="485"/>
      <c r="AB155" s="486"/>
      <c r="AC155" s="487"/>
      <c r="AD155" s="486" t="s">
        <v>1206</v>
      </c>
      <c r="AE155" s="458">
        <f t="shared" si="19"/>
        <v>35</v>
      </c>
      <c r="AF155">
        <f t="shared" si="20"/>
        <v>35</v>
      </c>
      <c r="AG155">
        <f t="shared" si="21"/>
        <v>45</v>
      </c>
      <c r="AH155" t="str">
        <f t="shared" si="22"/>
        <v/>
      </c>
      <c r="AI155" s="488">
        <v>100</v>
      </c>
      <c r="AJ155" s="490">
        <v>79</v>
      </c>
      <c r="AK155" s="490" t="s">
        <v>1207</v>
      </c>
    </row>
    <row r="156" spans="1:37" x14ac:dyDescent="0.25">
      <c r="A156" s="483" t="s">
        <v>289</v>
      </c>
      <c r="B156" s="484"/>
      <c r="C156" s="485"/>
      <c r="D156" s="485"/>
      <c r="E156" s="485"/>
      <c r="F156" s="485"/>
      <c r="G156" s="486" t="s">
        <v>1208</v>
      </c>
      <c r="H156" s="487">
        <v>2</v>
      </c>
      <c r="I156" s="484" t="s">
        <v>66</v>
      </c>
      <c r="J156" s="485"/>
      <c r="K156" s="485" t="s">
        <v>66</v>
      </c>
      <c r="L156" s="485"/>
      <c r="M156" s="485"/>
      <c r="N156" s="486" t="s">
        <v>1205</v>
      </c>
      <c r="O156" s="487">
        <v>1</v>
      </c>
      <c r="P156" s="485"/>
      <c r="Q156" s="485"/>
      <c r="R156" s="485"/>
      <c r="S156" s="485"/>
      <c r="T156" s="485"/>
      <c r="U156" s="486"/>
      <c r="V156" s="486"/>
      <c r="W156" s="484"/>
      <c r="X156" s="485"/>
      <c r="Y156" s="485"/>
      <c r="Z156" s="485"/>
      <c r="AA156" s="485"/>
      <c r="AB156" s="486"/>
      <c r="AC156" s="487"/>
      <c r="AD156" s="486" t="s">
        <v>1206</v>
      </c>
      <c r="AE156" s="458">
        <f t="shared" si="19"/>
        <v>35</v>
      </c>
      <c r="AF156">
        <f t="shared" si="20"/>
        <v>35</v>
      </c>
      <c r="AG156" t="str">
        <f t="shared" si="21"/>
        <v/>
      </c>
      <c r="AH156" t="str">
        <f t="shared" si="22"/>
        <v/>
      </c>
      <c r="AI156" s="488"/>
      <c r="AJ156" s="489"/>
      <c r="AK156" s="490" t="s">
        <v>1207</v>
      </c>
    </row>
    <row r="157" spans="1:37" x14ac:dyDescent="0.25">
      <c r="A157" s="483" t="s">
        <v>752</v>
      </c>
      <c r="B157" s="484"/>
      <c r="C157" s="485"/>
      <c r="D157" s="485"/>
      <c r="E157" s="485"/>
      <c r="F157" s="485"/>
      <c r="G157" s="486" t="s">
        <v>1208</v>
      </c>
      <c r="H157" s="487">
        <v>1</v>
      </c>
      <c r="I157" s="484"/>
      <c r="J157" s="485"/>
      <c r="K157" s="485"/>
      <c r="L157" s="485"/>
      <c r="M157" s="485"/>
      <c r="N157" s="486"/>
      <c r="O157" s="487"/>
      <c r="P157" s="485"/>
      <c r="Q157" s="485"/>
      <c r="R157" s="485"/>
      <c r="S157" s="485"/>
      <c r="T157" s="485"/>
      <c r="U157" s="486"/>
      <c r="V157" s="486"/>
      <c r="W157" s="484"/>
      <c r="X157" s="485"/>
      <c r="Y157" s="485"/>
      <c r="Z157" s="485"/>
      <c r="AA157" s="485"/>
      <c r="AB157" s="486"/>
      <c r="AC157" s="487"/>
      <c r="AD157" s="486"/>
      <c r="AE157" s="458">
        <f t="shared" si="19"/>
        <v>35</v>
      </c>
      <c r="AF157" t="str">
        <f t="shared" si="20"/>
        <v/>
      </c>
      <c r="AG157" t="str">
        <f t="shared" si="21"/>
        <v/>
      </c>
      <c r="AH157" t="str">
        <f t="shared" si="22"/>
        <v/>
      </c>
      <c r="AI157" s="488"/>
      <c r="AJ157" s="489"/>
      <c r="AK157" s="490"/>
    </row>
    <row r="158" spans="1:37" x14ac:dyDescent="0.25">
      <c r="A158" s="483" t="s">
        <v>292</v>
      </c>
      <c r="B158" s="484"/>
      <c r="C158" s="485"/>
      <c r="D158" s="485"/>
      <c r="E158" s="485"/>
      <c r="F158" s="485"/>
      <c r="G158" s="486" t="s">
        <v>1208</v>
      </c>
      <c r="H158" s="487">
        <v>1</v>
      </c>
      <c r="I158" s="484"/>
      <c r="J158" s="485"/>
      <c r="K158" s="485"/>
      <c r="L158" s="485"/>
      <c r="M158" s="485"/>
      <c r="N158" s="486"/>
      <c r="O158" s="487"/>
      <c r="P158" s="485"/>
      <c r="Q158" s="485"/>
      <c r="R158" s="485"/>
      <c r="S158" s="485"/>
      <c r="T158" s="485"/>
      <c r="U158" s="486"/>
      <c r="V158" s="486"/>
      <c r="W158" s="484"/>
      <c r="X158" s="485"/>
      <c r="Y158" s="485"/>
      <c r="Z158" s="485"/>
      <c r="AA158" s="485"/>
      <c r="AB158" s="486"/>
      <c r="AC158" s="487"/>
      <c r="AD158" s="486"/>
      <c r="AE158" s="458">
        <f t="shared" si="19"/>
        <v>35</v>
      </c>
      <c r="AF158" t="str">
        <f t="shared" si="20"/>
        <v/>
      </c>
      <c r="AG158" t="str">
        <f t="shared" si="21"/>
        <v/>
      </c>
      <c r="AH158" t="str">
        <f t="shared" si="22"/>
        <v/>
      </c>
      <c r="AI158" s="488"/>
      <c r="AJ158" s="489"/>
      <c r="AK158" s="490"/>
    </row>
    <row r="159" spans="1:37" x14ac:dyDescent="0.25">
      <c r="A159" s="483" t="s">
        <v>293</v>
      </c>
      <c r="B159" s="484"/>
      <c r="C159" s="485"/>
      <c r="D159" s="485"/>
      <c r="E159" s="485"/>
      <c r="F159" s="485"/>
      <c r="G159" s="486" t="s">
        <v>1205</v>
      </c>
      <c r="H159" s="487">
        <v>1</v>
      </c>
      <c r="I159" s="484"/>
      <c r="J159" s="485"/>
      <c r="K159" s="485"/>
      <c r="L159" s="485"/>
      <c r="M159" s="485"/>
      <c r="N159" s="486" t="s">
        <v>1209</v>
      </c>
      <c r="O159" s="487">
        <v>1</v>
      </c>
      <c r="P159" s="485"/>
      <c r="Q159" s="485"/>
      <c r="R159" s="485"/>
      <c r="S159" s="485"/>
      <c r="T159" s="485"/>
      <c r="U159" s="486"/>
      <c r="V159" s="486"/>
      <c r="W159" s="484"/>
      <c r="X159" s="485"/>
      <c r="Y159" s="485"/>
      <c r="Z159" s="485"/>
      <c r="AA159" s="485"/>
      <c r="AB159" s="486"/>
      <c r="AC159" s="487"/>
      <c r="AD159" s="486" t="s">
        <v>1206</v>
      </c>
      <c r="AE159" s="458">
        <f t="shared" si="19"/>
        <v>35</v>
      </c>
      <c r="AF159">
        <f t="shared" si="20"/>
        <v>55</v>
      </c>
      <c r="AG159" t="str">
        <f t="shared" si="21"/>
        <v/>
      </c>
      <c r="AH159" t="str">
        <f t="shared" si="22"/>
        <v/>
      </c>
      <c r="AI159" s="488"/>
      <c r="AJ159" s="490">
        <v>226</v>
      </c>
      <c r="AK159" s="490" t="s">
        <v>1207</v>
      </c>
    </row>
    <row r="160" spans="1:37" x14ac:dyDescent="0.25">
      <c r="A160" s="483" t="s">
        <v>296</v>
      </c>
      <c r="B160" s="484"/>
      <c r="C160" s="485"/>
      <c r="D160" s="485"/>
      <c r="E160" s="485"/>
      <c r="F160" s="485"/>
      <c r="G160" s="486" t="s">
        <v>1208</v>
      </c>
      <c r="H160" s="487">
        <v>1</v>
      </c>
      <c r="I160" s="484"/>
      <c r="J160" s="485"/>
      <c r="K160" s="485"/>
      <c r="L160" s="485"/>
      <c r="M160" s="485"/>
      <c r="N160" s="486"/>
      <c r="O160" s="487"/>
      <c r="P160" s="485"/>
      <c r="Q160" s="485"/>
      <c r="R160" s="485"/>
      <c r="S160" s="485"/>
      <c r="T160" s="485"/>
      <c r="U160" s="486"/>
      <c r="V160" s="486"/>
      <c r="W160" s="484"/>
      <c r="X160" s="485"/>
      <c r="Y160" s="485"/>
      <c r="Z160" s="485"/>
      <c r="AA160" s="485"/>
      <c r="AB160" s="486"/>
      <c r="AC160" s="487"/>
      <c r="AD160" s="486"/>
      <c r="AE160" s="458">
        <f t="shared" si="19"/>
        <v>35</v>
      </c>
      <c r="AF160" t="str">
        <f t="shared" si="20"/>
        <v/>
      </c>
      <c r="AG160" t="str">
        <f t="shared" si="21"/>
        <v/>
      </c>
      <c r="AH160" t="str">
        <f t="shared" si="22"/>
        <v/>
      </c>
      <c r="AI160" s="488"/>
      <c r="AJ160" s="490"/>
      <c r="AK160" s="490"/>
    </row>
    <row r="161" spans="1:37" x14ac:dyDescent="0.25">
      <c r="A161" s="483" t="s">
        <v>299</v>
      </c>
      <c r="B161" s="484"/>
      <c r="C161" s="485"/>
      <c r="D161" s="485"/>
      <c r="E161" s="485"/>
      <c r="F161" s="485"/>
      <c r="G161" s="486"/>
      <c r="H161" s="487">
        <v>1</v>
      </c>
      <c r="I161" s="484"/>
      <c r="J161" s="485"/>
      <c r="K161" s="485"/>
      <c r="L161" s="485"/>
      <c r="M161" s="485"/>
      <c r="N161" s="486" t="s">
        <v>1205</v>
      </c>
      <c r="O161" s="487">
        <v>1</v>
      </c>
      <c r="P161" s="485"/>
      <c r="Q161" s="485"/>
      <c r="R161" s="485"/>
      <c r="S161" s="485"/>
      <c r="T161" s="485"/>
      <c r="U161" s="486"/>
      <c r="V161" s="486"/>
      <c r="W161" s="484"/>
      <c r="X161" s="485"/>
      <c r="Y161" s="485"/>
      <c r="Z161" s="485"/>
      <c r="AA161" s="485"/>
      <c r="AB161" s="486"/>
      <c r="AC161" s="487"/>
      <c r="AD161" s="486" t="s">
        <v>1206</v>
      </c>
      <c r="AE161" s="458" t="str">
        <f t="shared" si="19"/>
        <v/>
      </c>
      <c r="AF161">
        <f t="shared" si="20"/>
        <v>35</v>
      </c>
      <c r="AG161" t="str">
        <f t="shared" si="21"/>
        <v/>
      </c>
      <c r="AH161" t="str">
        <f t="shared" si="22"/>
        <v/>
      </c>
      <c r="AI161" s="488"/>
      <c r="AJ161" s="490">
        <v>80</v>
      </c>
      <c r="AK161" s="490" t="s">
        <v>1207</v>
      </c>
    </row>
    <row r="162" spans="1:37" x14ac:dyDescent="0.25">
      <c r="A162" s="483" t="s">
        <v>302</v>
      </c>
      <c r="B162" s="484"/>
      <c r="C162" s="485"/>
      <c r="D162" s="485"/>
      <c r="E162" s="485"/>
      <c r="F162" s="485"/>
      <c r="G162" s="486" t="s">
        <v>1212</v>
      </c>
      <c r="H162" s="487">
        <v>3</v>
      </c>
      <c r="I162" s="484"/>
      <c r="J162" s="485"/>
      <c r="K162" s="485"/>
      <c r="L162" s="485"/>
      <c r="M162" s="485"/>
      <c r="N162" s="486" t="s">
        <v>1212</v>
      </c>
      <c r="O162" s="487">
        <v>2</v>
      </c>
      <c r="P162" s="485"/>
      <c r="Q162" s="485"/>
      <c r="R162" s="485"/>
      <c r="S162" s="485"/>
      <c r="T162" s="485"/>
      <c r="U162" s="486"/>
      <c r="V162" s="486"/>
      <c r="W162" s="484"/>
      <c r="X162" s="485"/>
      <c r="Y162" s="485"/>
      <c r="Z162" s="485"/>
      <c r="AA162" s="485"/>
      <c r="AB162" s="486"/>
      <c r="AC162" s="487"/>
      <c r="AD162" s="486" t="s">
        <v>1206</v>
      </c>
      <c r="AE162" s="458">
        <f t="shared" si="19"/>
        <v>25</v>
      </c>
      <c r="AF162">
        <f t="shared" si="20"/>
        <v>25</v>
      </c>
      <c r="AG162" t="str">
        <f t="shared" si="21"/>
        <v/>
      </c>
      <c r="AH162" t="str">
        <f t="shared" si="22"/>
        <v/>
      </c>
      <c r="AI162" s="488">
        <v>200</v>
      </c>
      <c r="AJ162" s="489"/>
      <c r="AK162" s="490" t="s">
        <v>1207</v>
      </c>
    </row>
    <row r="163" spans="1:37" x14ac:dyDescent="0.25">
      <c r="A163" s="483" t="s">
        <v>305</v>
      </c>
      <c r="B163" s="484"/>
      <c r="C163" s="485"/>
      <c r="D163" s="485"/>
      <c r="E163" s="485"/>
      <c r="F163" s="485"/>
      <c r="G163" s="486" t="s">
        <v>1212</v>
      </c>
      <c r="H163" s="487">
        <v>3</v>
      </c>
      <c r="I163" s="484"/>
      <c r="J163" s="485"/>
      <c r="K163" s="485"/>
      <c r="L163" s="485"/>
      <c r="M163" s="485"/>
      <c r="N163" s="486"/>
      <c r="O163" s="487"/>
      <c r="P163" s="485"/>
      <c r="Q163" s="485"/>
      <c r="R163" s="485"/>
      <c r="S163" s="485"/>
      <c r="T163" s="485"/>
      <c r="U163" s="486"/>
      <c r="V163" s="486"/>
      <c r="W163" s="484"/>
      <c r="X163" s="485"/>
      <c r="Y163" s="485"/>
      <c r="Z163" s="485"/>
      <c r="AA163" s="485"/>
      <c r="AB163" s="486"/>
      <c r="AC163" s="487"/>
      <c r="AD163" s="486" t="s">
        <v>1206</v>
      </c>
      <c r="AE163" s="458">
        <f t="shared" si="19"/>
        <v>25</v>
      </c>
      <c r="AF163" t="str">
        <f t="shared" si="20"/>
        <v/>
      </c>
      <c r="AG163" t="str">
        <f t="shared" si="21"/>
        <v/>
      </c>
      <c r="AH163" t="str">
        <f t="shared" si="22"/>
        <v/>
      </c>
      <c r="AI163" s="488">
        <v>200</v>
      </c>
      <c r="AJ163" s="489"/>
      <c r="AK163" s="490" t="s">
        <v>1207</v>
      </c>
    </row>
    <row r="164" spans="1:37" x14ac:dyDescent="0.25">
      <c r="A164" s="483" t="s">
        <v>696</v>
      </c>
      <c r="B164" s="491"/>
      <c r="C164" s="492"/>
      <c r="D164" s="492"/>
      <c r="E164" s="492"/>
      <c r="F164" s="492"/>
      <c r="G164" s="493"/>
      <c r="H164" s="494"/>
      <c r="I164" s="484"/>
      <c r="J164" s="485"/>
      <c r="K164" s="485"/>
      <c r="L164" s="485"/>
      <c r="M164" s="485"/>
      <c r="N164" s="486"/>
      <c r="O164" s="487">
        <v>2</v>
      </c>
      <c r="P164" s="485"/>
      <c r="Q164" s="485"/>
      <c r="R164" s="485"/>
      <c r="S164" s="485"/>
      <c r="T164" s="485"/>
      <c r="U164" s="486"/>
      <c r="V164" s="486"/>
      <c r="W164" s="484"/>
      <c r="X164" s="485"/>
      <c r="Y164" s="485"/>
      <c r="Z164" s="485"/>
      <c r="AA164" s="485"/>
      <c r="AB164" s="486"/>
      <c r="AC164" s="487"/>
      <c r="AD164" s="486"/>
      <c r="AE164" s="458" t="str">
        <f t="shared" si="19"/>
        <v/>
      </c>
      <c r="AF164" t="str">
        <f t="shared" si="20"/>
        <v/>
      </c>
      <c r="AG164" t="str">
        <f t="shared" si="21"/>
        <v/>
      </c>
      <c r="AH164" t="str">
        <f t="shared" si="22"/>
        <v/>
      </c>
      <c r="AI164" s="488"/>
      <c r="AJ164" s="489"/>
      <c r="AK164" s="490"/>
    </row>
    <row r="165" spans="1:37" x14ac:dyDescent="0.25">
      <c r="A165" s="483" t="s">
        <v>307</v>
      </c>
      <c r="B165" s="484"/>
      <c r="C165" s="485"/>
      <c r="D165" s="485"/>
      <c r="E165" s="485"/>
      <c r="F165" s="485"/>
      <c r="G165" s="486" t="s">
        <v>1208</v>
      </c>
      <c r="H165" s="487">
        <v>3</v>
      </c>
      <c r="I165" s="484"/>
      <c r="J165" s="485"/>
      <c r="K165" s="485"/>
      <c r="L165" s="485"/>
      <c r="M165" s="485"/>
      <c r="N165" s="486"/>
      <c r="O165" s="487"/>
      <c r="P165" s="485"/>
      <c r="Q165" s="485"/>
      <c r="R165" s="485"/>
      <c r="S165" s="485"/>
      <c r="T165" s="485"/>
      <c r="U165" s="486"/>
      <c r="V165" s="486"/>
      <c r="W165" s="484"/>
      <c r="X165" s="485"/>
      <c r="Y165" s="485"/>
      <c r="Z165" s="485"/>
      <c r="AA165" s="485"/>
      <c r="AB165" s="486"/>
      <c r="AC165" s="487"/>
      <c r="AD165" s="486" t="s">
        <v>1206</v>
      </c>
      <c r="AE165" s="458">
        <f t="shared" si="19"/>
        <v>35</v>
      </c>
      <c r="AF165" t="str">
        <f t="shared" si="20"/>
        <v/>
      </c>
      <c r="AG165" t="str">
        <f t="shared" si="21"/>
        <v/>
      </c>
      <c r="AH165" t="str">
        <f t="shared" si="22"/>
        <v/>
      </c>
      <c r="AI165" s="488">
        <v>400</v>
      </c>
      <c r="AJ165" s="489"/>
      <c r="AK165" s="490" t="s">
        <v>1207</v>
      </c>
    </row>
    <row r="166" spans="1:37" x14ac:dyDescent="0.25">
      <c r="A166" s="483" t="s">
        <v>310</v>
      </c>
      <c r="B166" s="484"/>
      <c r="C166" s="485"/>
      <c r="D166" s="485"/>
      <c r="E166" s="485"/>
      <c r="F166" s="485"/>
      <c r="G166" s="486" t="s">
        <v>1210</v>
      </c>
      <c r="H166" s="487">
        <v>2</v>
      </c>
      <c r="I166" s="484"/>
      <c r="J166" s="485"/>
      <c r="K166" s="485"/>
      <c r="L166" s="485"/>
      <c r="M166" s="485"/>
      <c r="N166" s="486" t="s">
        <v>1212</v>
      </c>
      <c r="O166" s="487"/>
      <c r="P166" s="485"/>
      <c r="Q166" s="485"/>
      <c r="R166" s="485"/>
      <c r="S166" s="485"/>
      <c r="T166" s="485"/>
      <c r="U166" s="486"/>
      <c r="V166" s="486"/>
      <c r="W166" s="484"/>
      <c r="X166" s="485"/>
      <c r="Y166" s="485"/>
      <c r="Z166" s="485"/>
      <c r="AA166" s="485"/>
      <c r="AB166" s="486"/>
      <c r="AC166" s="487"/>
      <c r="AD166" s="486" t="s">
        <v>1206</v>
      </c>
      <c r="AE166" s="458">
        <f t="shared" si="19"/>
        <v>25</v>
      </c>
      <c r="AF166">
        <f t="shared" si="20"/>
        <v>25</v>
      </c>
      <c r="AG166" t="str">
        <f t="shared" si="21"/>
        <v/>
      </c>
      <c r="AH166" t="str">
        <f t="shared" si="22"/>
        <v/>
      </c>
      <c r="AI166" s="488">
        <v>200</v>
      </c>
      <c r="AJ166" s="490">
        <v>81</v>
      </c>
      <c r="AK166" s="490" t="s">
        <v>1207</v>
      </c>
    </row>
    <row r="167" spans="1:37" x14ac:dyDescent="0.25">
      <c r="A167" s="483" t="s">
        <v>313</v>
      </c>
      <c r="B167" s="484"/>
      <c r="C167" s="485" t="s">
        <v>66</v>
      </c>
      <c r="D167" s="485" t="s">
        <v>66</v>
      </c>
      <c r="E167" s="485"/>
      <c r="F167" s="485"/>
      <c r="G167" s="486" t="s">
        <v>1205</v>
      </c>
      <c r="H167" s="487">
        <v>1</v>
      </c>
      <c r="I167" s="484"/>
      <c r="J167" s="485"/>
      <c r="K167" s="485"/>
      <c r="L167" s="485"/>
      <c r="M167" s="485"/>
      <c r="N167" s="486" t="s">
        <v>1212</v>
      </c>
      <c r="O167" s="487">
        <v>1</v>
      </c>
      <c r="P167" s="485"/>
      <c r="Q167" s="485"/>
      <c r="R167" s="485"/>
      <c r="S167" s="485"/>
      <c r="T167" s="485"/>
      <c r="U167" s="486" t="s">
        <v>1205</v>
      </c>
      <c r="V167" s="486">
        <v>1</v>
      </c>
      <c r="W167" s="484"/>
      <c r="X167" s="485"/>
      <c r="Y167" s="485"/>
      <c r="Z167" s="485"/>
      <c r="AA167" s="485"/>
      <c r="AB167" s="486"/>
      <c r="AC167" s="487"/>
      <c r="AD167" s="486" t="s">
        <v>1206</v>
      </c>
      <c r="AE167" s="458">
        <f t="shared" si="19"/>
        <v>35</v>
      </c>
      <c r="AF167">
        <f t="shared" si="20"/>
        <v>25</v>
      </c>
      <c r="AG167">
        <f t="shared" si="21"/>
        <v>45</v>
      </c>
      <c r="AH167" t="str">
        <f t="shared" si="22"/>
        <v/>
      </c>
      <c r="AI167" s="488"/>
      <c r="AJ167" s="490">
        <v>228</v>
      </c>
      <c r="AK167" s="490" t="s">
        <v>1207</v>
      </c>
    </row>
    <row r="168" spans="1:37" x14ac:dyDescent="0.25">
      <c r="A168" s="483" t="s">
        <v>1301</v>
      </c>
      <c r="B168" s="484"/>
      <c r="C168" s="485"/>
      <c r="D168" s="485"/>
      <c r="E168" s="485"/>
      <c r="F168" s="485"/>
      <c r="G168" s="486"/>
      <c r="H168" s="487"/>
      <c r="I168" s="484"/>
      <c r="J168" s="485"/>
      <c r="K168" s="485"/>
      <c r="L168" s="485"/>
      <c r="M168" s="485"/>
      <c r="N168" s="486" t="s">
        <v>1210</v>
      </c>
      <c r="O168" s="487"/>
      <c r="P168" s="485"/>
      <c r="Q168" s="485"/>
      <c r="R168" s="485"/>
      <c r="S168" s="485"/>
      <c r="T168" s="485"/>
      <c r="U168" s="486"/>
      <c r="V168" s="486"/>
      <c r="W168" s="484"/>
      <c r="X168" s="485"/>
      <c r="Y168" s="485"/>
      <c r="Z168" s="485"/>
      <c r="AA168" s="485"/>
      <c r="AB168" s="486"/>
      <c r="AC168" s="487"/>
      <c r="AD168" s="486"/>
      <c r="AE168" s="458" t="str">
        <f t="shared" si="19"/>
        <v/>
      </c>
      <c r="AF168">
        <f t="shared" si="20"/>
        <v>25</v>
      </c>
      <c r="AG168" t="str">
        <f t="shared" si="21"/>
        <v/>
      </c>
      <c r="AH168" t="str">
        <f t="shared" si="22"/>
        <v/>
      </c>
      <c r="AI168" s="488"/>
      <c r="AJ168" s="490"/>
      <c r="AK168" s="490" t="s">
        <v>1207</v>
      </c>
    </row>
    <row r="169" spans="1:37" x14ac:dyDescent="0.25">
      <c r="A169" s="483" t="s">
        <v>316</v>
      </c>
      <c r="B169" s="484"/>
      <c r="C169" s="485"/>
      <c r="D169" s="485" t="s">
        <v>66</v>
      </c>
      <c r="E169" s="485"/>
      <c r="F169" s="485"/>
      <c r="G169" s="486" t="s">
        <v>1205</v>
      </c>
      <c r="H169" s="487">
        <v>2</v>
      </c>
      <c r="I169" s="484"/>
      <c r="J169" s="485"/>
      <c r="K169" s="485"/>
      <c r="L169" s="485"/>
      <c r="M169" s="485"/>
      <c r="N169" s="486" t="s">
        <v>1208</v>
      </c>
      <c r="O169" s="487">
        <v>2</v>
      </c>
      <c r="P169" s="485"/>
      <c r="Q169" s="485"/>
      <c r="R169" s="485"/>
      <c r="S169" s="485"/>
      <c r="T169" s="485"/>
      <c r="U169" s="486"/>
      <c r="V169" s="486"/>
      <c r="W169" s="484"/>
      <c r="X169" s="485"/>
      <c r="Y169" s="485"/>
      <c r="Z169" s="485"/>
      <c r="AA169" s="485"/>
      <c r="AB169" s="486"/>
      <c r="AC169" s="487"/>
      <c r="AD169" s="486" t="s">
        <v>1206</v>
      </c>
      <c r="AE169" s="458">
        <f t="shared" si="19"/>
        <v>35</v>
      </c>
      <c r="AF169">
        <f t="shared" si="20"/>
        <v>35</v>
      </c>
      <c r="AG169" t="str">
        <f t="shared" si="21"/>
        <v/>
      </c>
      <c r="AH169" t="str">
        <f t="shared" si="22"/>
        <v/>
      </c>
      <c r="AI169" s="488">
        <v>300</v>
      </c>
      <c r="AJ169" s="490">
        <v>82</v>
      </c>
      <c r="AK169" s="490" t="s">
        <v>1207</v>
      </c>
    </row>
    <row r="170" spans="1:37" x14ac:dyDescent="0.25">
      <c r="A170" s="483" t="s">
        <v>699</v>
      </c>
      <c r="B170" s="491"/>
      <c r="C170" s="492"/>
      <c r="D170" s="492"/>
      <c r="E170" s="492"/>
      <c r="F170" s="492"/>
      <c r="G170" s="493"/>
      <c r="H170" s="494"/>
      <c r="I170" s="484"/>
      <c r="J170" s="485"/>
      <c r="K170" s="485"/>
      <c r="L170" s="485"/>
      <c r="M170" s="485"/>
      <c r="N170" s="486"/>
      <c r="O170" s="487">
        <v>2</v>
      </c>
      <c r="P170" s="485"/>
      <c r="Q170" s="485"/>
      <c r="R170" s="485"/>
      <c r="S170" s="485"/>
      <c r="T170" s="485"/>
      <c r="U170" s="486"/>
      <c r="V170" s="486"/>
      <c r="W170" s="484"/>
      <c r="X170" s="485"/>
      <c r="Y170" s="485"/>
      <c r="Z170" s="485"/>
      <c r="AA170" s="485"/>
      <c r="AB170" s="486"/>
      <c r="AC170" s="487"/>
      <c r="AD170" s="486"/>
      <c r="AE170" s="458" t="str">
        <f t="shared" si="19"/>
        <v/>
      </c>
      <c r="AF170" t="str">
        <f t="shared" si="20"/>
        <v/>
      </c>
      <c r="AG170" t="str">
        <f t="shared" si="21"/>
        <v/>
      </c>
      <c r="AH170" t="str">
        <f t="shared" si="22"/>
        <v/>
      </c>
      <c r="AI170" s="488"/>
      <c r="AJ170" s="490"/>
      <c r="AK170" s="490"/>
    </row>
    <row r="171" spans="1:37" x14ac:dyDescent="0.25">
      <c r="A171" s="483" t="s">
        <v>318</v>
      </c>
      <c r="B171" s="484"/>
      <c r="C171" s="485"/>
      <c r="D171" s="485"/>
      <c r="E171" s="485"/>
      <c r="F171" s="485"/>
      <c r="G171" s="486" t="s">
        <v>1210</v>
      </c>
      <c r="H171" s="487">
        <v>2</v>
      </c>
      <c r="I171" s="484"/>
      <c r="J171" s="485"/>
      <c r="K171" s="485"/>
      <c r="L171" s="485"/>
      <c r="M171" s="485"/>
      <c r="N171" s="486"/>
      <c r="O171" s="487"/>
      <c r="P171" s="485"/>
      <c r="Q171" s="485"/>
      <c r="R171" s="485"/>
      <c r="S171" s="485"/>
      <c r="T171" s="485"/>
      <c r="U171" s="486"/>
      <c r="V171" s="486"/>
      <c r="W171" s="484"/>
      <c r="X171" s="485"/>
      <c r="Y171" s="485"/>
      <c r="Z171" s="485"/>
      <c r="AA171" s="485"/>
      <c r="AB171" s="486"/>
      <c r="AC171" s="487"/>
      <c r="AD171" s="486" t="s">
        <v>1206</v>
      </c>
      <c r="AE171" s="458">
        <f t="shared" si="19"/>
        <v>25</v>
      </c>
      <c r="AF171" t="str">
        <f t="shared" si="20"/>
        <v/>
      </c>
      <c r="AG171" t="str">
        <f t="shared" si="21"/>
        <v/>
      </c>
      <c r="AH171" t="str">
        <f t="shared" si="22"/>
        <v/>
      </c>
      <c r="AI171" s="488"/>
      <c r="AJ171" s="489"/>
      <c r="AK171" s="490" t="s">
        <v>1207</v>
      </c>
    </row>
    <row r="172" spans="1:37" x14ac:dyDescent="0.25">
      <c r="A172" s="483" t="s">
        <v>321</v>
      </c>
      <c r="B172" s="484"/>
      <c r="C172" s="485"/>
      <c r="D172" s="485"/>
      <c r="E172" s="485"/>
      <c r="F172" s="485"/>
      <c r="G172" s="486" t="s">
        <v>1212</v>
      </c>
      <c r="H172" s="487">
        <v>2</v>
      </c>
      <c r="I172" s="484"/>
      <c r="J172" s="485"/>
      <c r="K172" s="485"/>
      <c r="L172" s="485"/>
      <c r="M172" s="485"/>
      <c r="N172" s="486"/>
      <c r="O172" s="487"/>
      <c r="P172" s="485"/>
      <c r="Q172" s="485"/>
      <c r="R172" s="485"/>
      <c r="S172" s="485"/>
      <c r="T172" s="485"/>
      <c r="U172" s="486"/>
      <c r="V172" s="486"/>
      <c r="W172" s="484"/>
      <c r="X172" s="485"/>
      <c r="Y172" s="485"/>
      <c r="Z172" s="485"/>
      <c r="AA172" s="485"/>
      <c r="AB172" s="486"/>
      <c r="AC172" s="487"/>
      <c r="AD172" s="486" t="s">
        <v>1206</v>
      </c>
      <c r="AE172" s="458">
        <f t="shared" si="19"/>
        <v>25</v>
      </c>
      <c r="AF172" t="str">
        <f t="shared" si="20"/>
        <v/>
      </c>
      <c r="AG172" t="str">
        <f t="shared" si="21"/>
        <v/>
      </c>
      <c r="AH172" t="str">
        <f t="shared" si="22"/>
        <v/>
      </c>
      <c r="AI172" s="488"/>
      <c r="AJ172" s="489"/>
      <c r="AK172" s="490" t="s">
        <v>1207</v>
      </c>
    </row>
    <row r="173" spans="1:37" x14ac:dyDescent="0.25">
      <c r="A173" s="483" t="s">
        <v>324</v>
      </c>
      <c r="B173" s="484" t="s">
        <v>66</v>
      </c>
      <c r="C173" s="485" t="s">
        <v>66</v>
      </c>
      <c r="D173" s="485" t="s">
        <v>66</v>
      </c>
      <c r="E173" s="485"/>
      <c r="F173" s="485"/>
      <c r="G173" s="486" t="s">
        <v>1205</v>
      </c>
      <c r="H173" s="487">
        <v>1</v>
      </c>
      <c r="I173" s="484" t="s">
        <v>66</v>
      </c>
      <c r="J173" s="485" t="s">
        <v>66</v>
      </c>
      <c r="K173" s="485" t="s">
        <v>66</v>
      </c>
      <c r="L173" s="485"/>
      <c r="M173" s="485"/>
      <c r="N173" s="486" t="s">
        <v>1208</v>
      </c>
      <c r="O173" s="487">
        <v>2</v>
      </c>
      <c r="P173" s="485"/>
      <c r="Q173" s="485"/>
      <c r="R173" s="485"/>
      <c r="S173" s="485"/>
      <c r="T173" s="485"/>
      <c r="U173" s="486" t="s">
        <v>1205</v>
      </c>
      <c r="V173" s="486">
        <v>2</v>
      </c>
      <c r="W173" s="484"/>
      <c r="X173" s="485"/>
      <c r="Y173" s="485"/>
      <c r="Z173" s="485"/>
      <c r="AA173" s="485"/>
      <c r="AB173" s="486"/>
      <c r="AC173" s="487"/>
      <c r="AD173" s="486" t="s">
        <v>1206</v>
      </c>
      <c r="AE173" s="458">
        <f t="shared" si="19"/>
        <v>35</v>
      </c>
      <c r="AF173">
        <f t="shared" si="20"/>
        <v>35</v>
      </c>
      <c r="AG173">
        <f t="shared" si="21"/>
        <v>45</v>
      </c>
      <c r="AH173" t="str">
        <f t="shared" si="22"/>
        <v/>
      </c>
      <c r="AI173" s="488">
        <v>200</v>
      </c>
      <c r="AJ173" s="490">
        <v>83</v>
      </c>
      <c r="AK173" s="490" t="s">
        <v>1207</v>
      </c>
    </row>
    <row r="174" spans="1:37" x14ac:dyDescent="0.25">
      <c r="A174" s="483" t="s">
        <v>327</v>
      </c>
      <c r="B174" s="484"/>
      <c r="C174" s="485"/>
      <c r="D174" s="485"/>
      <c r="E174" s="485"/>
      <c r="F174" s="485"/>
      <c r="G174" s="486" t="s">
        <v>1212</v>
      </c>
      <c r="H174" s="487">
        <v>1</v>
      </c>
      <c r="I174" s="484"/>
      <c r="J174" s="485"/>
      <c r="K174" s="485"/>
      <c r="L174" s="485"/>
      <c r="M174" s="485"/>
      <c r="N174" s="486" t="s">
        <v>1205</v>
      </c>
      <c r="O174" s="487">
        <v>1</v>
      </c>
      <c r="P174" s="485"/>
      <c r="Q174" s="485"/>
      <c r="R174" s="485"/>
      <c r="S174" s="485"/>
      <c r="T174" s="485"/>
      <c r="U174" s="486"/>
      <c r="V174" s="486">
        <v>1</v>
      </c>
      <c r="W174" s="484"/>
      <c r="X174" s="485"/>
      <c r="Y174" s="485"/>
      <c r="Z174" s="485"/>
      <c r="AA174" s="485"/>
      <c r="AB174" s="486"/>
      <c r="AC174" s="487"/>
      <c r="AD174" s="486" t="s">
        <v>1206</v>
      </c>
      <c r="AE174" s="458">
        <f t="shared" si="19"/>
        <v>25</v>
      </c>
      <c r="AF174">
        <f t="shared" si="20"/>
        <v>35</v>
      </c>
      <c r="AG174" t="str">
        <f t="shared" si="21"/>
        <v/>
      </c>
      <c r="AH174" t="str">
        <f t="shared" si="22"/>
        <v/>
      </c>
      <c r="AI174" s="488"/>
      <c r="AJ174" s="490">
        <v>84</v>
      </c>
      <c r="AK174" s="490" t="s">
        <v>1207</v>
      </c>
    </row>
    <row r="175" spans="1:37" x14ac:dyDescent="0.25">
      <c r="A175" s="483" t="s">
        <v>330</v>
      </c>
      <c r="B175" s="484"/>
      <c r="C175" s="485"/>
      <c r="D175" s="485"/>
      <c r="E175" s="485"/>
      <c r="F175" s="485"/>
      <c r="G175" s="486" t="s">
        <v>1208</v>
      </c>
      <c r="H175" s="487">
        <v>2</v>
      </c>
      <c r="I175" s="484"/>
      <c r="J175" s="485"/>
      <c r="K175" s="485"/>
      <c r="L175" s="485"/>
      <c r="M175" s="485"/>
      <c r="N175" s="486" t="s">
        <v>1210</v>
      </c>
      <c r="O175" s="487">
        <v>2</v>
      </c>
      <c r="P175" s="485"/>
      <c r="Q175" s="485"/>
      <c r="R175" s="485"/>
      <c r="S175" s="485"/>
      <c r="T175" s="485"/>
      <c r="U175" s="486"/>
      <c r="V175" s="486"/>
      <c r="W175" s="484"/>
      <c r="X175" s="485"/>
      <c r="Y175" s="485"/>
      <c r="Z175" s="485"/>
      <c r="AA175" s="485"/>
      <c r="AB175" s="486"/>
      <c r="AC175" s="487"/>
      <c r="AD175" s="486" t="s">
        <v>1206</v>
      </c>
      <c r="AE175" s="458">
        <f t="shared" si="19"/>
        <v>35</v>
      </c>
      <c r="AF175">
        <f t="shared" si="20"/>
        <v>25</v>
      </c>
      <c r="AG175" t="str">
        <f t="shared" si="21"/>
        <v/>
      </c>
      <c r="AH175" t="str">
        <f t="shared" si="22"/>
        <v/>
      </c>
      <c r="AI175" s="488"/>
      <c r="AJ175" s="490">
        <v>85</v>
      </c>
      <c r="AK175" s="490" t="s">
        <v>1207</v>
      </c>
    </row>
    <row r="176" spans="1:37" x14ac:dyDescent="0.25">
      <c r="A176" s="483" t="s">
        <v>333</v>
      </c>
      <c r="B176" s="484"/>
      <c r="C176" s="485"/>
      <c r="D176" s="485"/>
      <c r="E176" s="485"/>
      <c r="F176" s="485"/>
      <c r="G176" s="486"/>
      <c r="H176" s="487">
        <v>1</v>
      </c>
      <c r="I176" s="484"/>
      <c r="J176" s="485"/>
      <c r="K176" s="485"/>
      <c r="L176" s="485"/>
      <c r="M176" s="485"/>
      <c r="N176" s="486"/>
      <c r="O176" s="487"/>
      <c r="P176" s="485"/>
      <c r="Q176" s="485"/>
      <c r="R176" s="485"/>
      <c r="S176" s="485"/>
      <c r="T176" s="485"/>
      <c r="U176" s="486"/>
      <c r="V176" s="486"/>
      <c r="W176" s="484"/>
      <c r="X176" s="485"/>
      <c r="Y176" s="485"/>
      <c r="Z176" s="485"/>
      <c r="AA176" s="485"/>
      <c r="AB176" s="486"/>
      <c r="AC176" s="487"/>
      <c r="AD176" s="486" t="s">
        <v>1206</v>
      </c>
      <c r="AE176" s="458" t="str">
        <f t="shared" si="19"/>
        <v/>
      </c>
      <c r="AF176" t="str">
        <f t="shared" si="20"/>
        <v/>
      </c>
      <c r="AG176" t="str">
        <f t="shared" si="21"/>
        <v/>
      </c>
      <c r="AH176" t="str">
        <f t="shared" si="22"/>
        <v/>
      </c>
      <c r="AI176" s="488"/>
      <c r="AJ176" s="490">
        <v>86</v>
      </c>
      <c r="AK176" s="490" t="s">
        <v>1207</v>
      </c>
    </row>
    <row r="177" spans="1:37" x14ac:dyDescent="0.25">
      <c r="A177" s="483" t="s">
        <v>336</v>
      </c>
      <c r="B177" s="484"/>
      <c r="C177" s="485"/>
      <c r="D177" s="485"/>
      <c r="E177" s="485"/>
      <c r="F177" s="485"/>
      <c r="G177" s="486" t="s">
        <v>1210</v>
      </c>
      <c r="H177" s="487">
        <v>1</v>
      </c>
      <c r="I177" s="484"/>
      <c r="J177" s="485"/>
      <c r="K177" s="485"/>
      <c r="L177" s="485"/>
      <c r="M177" s="485"/>
      <c r="N177" s="486"/>
      <c r="O177" s="487"/>
      <c r="P177" s="485"/>
      <c r="Q177" s="485"/>
      <c r="R177" s="485"/>
      <c r="S177" s="485"/>
      <c r="T177" s="485"/>
      <c r="U177" s="486"/>
      <c r="V177" s="486"/>
      <c r="W177" s="484"/>
      <c r="X177" s="485"/>
      <c r="Y177" s="485"/>
      <c r="Z177" s="485"/>
      <c r="AA177" s="485"/>
      <c r="AB177" s="486"/>
      <c r="AC177" s="487"/>
      <c r="AD177" s="486" t="s">
        <v>1206</v>
      </c>
      <c r="AE177" s="458">
        <f t="shared" si="19"/>
        <v>25</v>
      </c>
      <c r="AF177" t="str">
        <f t="shared" si="20"/>
        <v/>
      </c>
      <c r="AG177" t="str">
        <f t="shared" si="21"/>
        <v/>
      </c>
      <c r="AH177" t="str">
        <f t="shared" si="22"/>
        <v/>
      </c>
      <c r="AI177" s="488"/>
      <c r="AJ177" s="490">
        <v>87</v>
      </c>
      <c r="AK177" s="490" t="s">
        <v>1207</v>
      </c>
    </row>
    <row r="178" spans="1:37" x14ac:dyDescent="0.25">
      <c r="A178" s="483" t="s">
        <v>339</v>
      </c>
      <c r="B178" s="484"/>
      <c r="C178" s="485"/>
      <c r="D178" s="485"/>
      <c r="E178" s="485"/>
      <c r="F178" s="485"/>
      <c r="G178" s="486"/>
      <c r="H178" s="487">
        <v>1</v>
      </c>
      <c r="I178" s="484"/>
      <c r="J178" s="485"/>
      <c r="K178" s="485"/>
      <c r="L178" s="485"/>
      <c r="M178" s="485"/>
      <c r="N178" s="486" t="s">
        <v>1205</v>
      </c>
      <c r="O178" s="487">
        <v>1</v>
      </c>
      <c r="P178" s="485"/>
      <c r="Q178" s="485"/>
      <c r="R178" s="485"/>
      <c r="S178" s="485"/>
      <c r="T178" s="485"/>
      <c r="U178" s="486"/>
      <c r="V178" s="486"/>
      <c r="W178" s="484"/>
      <c r="X178" s="485"/>
      <c r="Y178" s="485"/>
      <c r="Z178" s="485"/>
      <c r="AA178" s="485"/>
      <c r="AB178" s="486"/>
      <c r="AC178" s="487"/>
      <c r="AD178" s="486" t="s">
        <v>1206</v>
      </c>
      <c r="AE178" s="458" t="str">
        <f t="shared" si="19"/>
        <v/>
      </c>
      <c r="AF178">
        <f t="shared" si="20"/>
        <v>35</v>
      </c>
      <c r="AG178" t="str">
        <f t="shared" si="21"/>
        <v/>
      </c>
      <c r="AH178" t="str">
        <f t="shared" si="22"/>
        <v/>
      </c>
      <c r="AI178" s="488"/>
      <c r="AJ178" s="490">
        <v>88</v>
      </c>
      <c r="AK178" s="490" t="s">
        <v>1207</v>
      </c>
    </row>
    <row r="179" spans="1:37" x14ac:dyDescent="0.25">
      <c r="A179" s="483" t="s">
        <v>342</v>
      </c>
      <c r="B179" s="484"/>
      <c r="C179" s="485"/>
      <c r="D179" s="485"/>
      <c r="E179" s="485"/>
      <c r="F179" s="485"/>
      <c r="G179" s="486" t="s">
        <v>1209</v>
      </c>
      <c r="H179" s="487">
        <v>1</v>
      </c>
      <c r="I179" s="484"/>
      <c r="J179" s="485"/>
      <c r="K179" s="485"/>
      <c r="L179" s="485"/>
      <c r="M179" s="485"/>
      <c r="N179" s="486"/>
      <c r="O179" s="487"/>
      <c r="P179" s="485"/>
      <c r="Q179" s="485"/>
      <c r="R179" s="485"/>
      <c r="S179" s="485"/>
      <c r="T179" s="485"/>
      <c r="U179" s="486"/>
      <c r="V179" s="486"/>
      <c r="W179" s="484"/>
      <c r="X179" s="485"/>
      <c r="Y179" s="485"/>
      <c r="Z179" s="485"/>
      <c r="AA179" s="485"/>
      <c r="AB179" s="486"/>
      <c r="AC179" s="487"/>
      <c r="AD179" s="486" t="s">
        <v>1206</v>
      </c>
      <c r="AE179" s="458">
        <f t="shared" si="19"/>
        <v>55</v>
      </c>
      <c r="AF179" t="str">
        <f t="shared" si="20"/>
        <v/>
      </c>
      <c r="AG179" t="str">
        <f t="shared" si="21"/>
        <v/>
      </c>
      <c r="AH179" t="str">
        <f t="shared" si="22"/>
        <v/>
      </c>
      <c r="AI179" s="488"/>
      <c r="AJ179" s="490">
        <v>89</v>
      </c>
      <c r="AK179" s="490" t="s">
        <v>1207</v>
      </c>
    </row>
    <row r="180" spans="1:37" x14ac:dyDescent="0.25">
      <c r="A180" s="483" t="s">
        <v>345</v>
      </c>
      <c r="B180" s="484"/>
      <c r="C180" s="485"/>
      <c r="D180" s="485"/>
      <c r="E180" s="485"/>
      <c r="F180" s="485"/>
      <c r="G180" s="486" t="s">
        <v>1210</v>
      </c>
      <c r="H180" s="487">
        <v>1</v>
      </c>
      <c r="I180" s="484"/>
      <c r="J180" s="485"/>
      <c r="K180" s="485"/>
      <c r="L180" s="485"/>
      <c r="M180" s="485"/>
      <c r="N180" s="486" t="s">
        <v>1212</v>
      </c>
      <c r="O180" s="487">
        <v>1</v>
      </c>
      <c r="P180" s="485"/>
      <c r="Q180" s="485"/>
      <c r="R180" s="485"/>
      <c r="S180" s="485"/>
      <c r="T180" s="485"/>
      <c r="U180" s="486"/>
      <c r="V180" s="486"/>
      <c r="W180" s="484"/>
      <c r="X180" s="485"/>
      <c r="Y180" s="485"/>
      <c r="Z180" s="485"/>
      <c r="AA180" s="485"/>
      <c r="AB180" s="486"/>
      <c r="AC180" s="487"/>
      <c r="AD180" s="486" t="s">
        <v>1206</v>
      </c>
      <c r="AE180" s="458">
        <f t="shared" ref="AE180:AE211" si="23">IF(G180="S",25,IF(G180="M",35,IF(G180="L",55,"")))</f>
        <v>25</v>
      </c>
      <c r="AF180">
        <f t="shared" ref="AF180:AF211" si="24">IF(N180="S",25,IF(N180="M",35,IF(N180="L",55,"")))</f>
        <v>25</v>
      </c>
      <c r="AG180" t="str">
        <f t="shared" ref="AG180:AG191" si="25">IF(U180="S",30,IF(U180="M",45,IF(U180="L",60,"")))</f>
        <v/>
      </c>
      <c r="AH180" t="str">
        <f t="shared" ref="AH180:AH191" si="26">IF(AB180="S",30,IF(AB180="M",45,IF(AB180="L",60,"")))</f>
        <v/>
      </c>
      <c r="AI180" s="488"/>
      <c r="AJ180" s="490">
        <v>90</v>
      </c>
      <c r="AK180" s="490" t="s">
        <v>1207</v>
      </c>
    </row>
    <row r="181" spans="1:37" x14ac:dyDescent="0.25">
      <c r="A181" s="483" t="s">
        <v>348</v>
      </c>
      <c r="B181" s="484"/>
      <c r="C181" s="485"/>
      <c r="D181" s="485"/>
      <c r="E181" s="485"/>
      <c r="F181" s="485"/>
      <c r="G181" s="486" t="s">
        <v>1212</v>
      </c>
      <c r="H181" s="487">
        <v>1</v>
      </c>
      <c r="I181" s="484"/>
      <c r="J181" s="485"/>
      <c r="K181" s="485"/>
      <c r="L181" s="485"/>
      <c r="M181" s="485"/>
      <c r="N181" s="486"/>
      <c r="O181" s="487"/>
      <c r="P181" s="485"/>
      <c r="Q181" s="485"/>
      <c r="R181" s="485"/>
      <c r="S181" s="485"/>
      <c r="T181" s="485"/>
      <c r="U181" s="486"/>
      <c r="V181" s="486"/>
      <c r="W181" s="484"/>
      <c r="X181" s="485"/>
      <c r="Y181" s="485"/>
      <c r="Z181" s="485"/>
      <c r="AA181" s="485"/>
      <c r="AB181" s="486"/>
      <c r="AC181" s="487"/>
      <c r="AD181" s="486" t="s">
        <v>1206</v>
      </c>
      <c r="AE181" s="458">
        <f t="shared" si="23"/>
        <v>25</v>
      </c>
      <c r="AF181" t="str">
        <f t="shared" si="24"/>
        <v/>
      </c>
      <c r="AG181" t="str">
        <f t="shared" si="25"/>
        <v/>
      </c>
      <c r="AH181" t="str">
        <f t="shared" si="26"/>
        <v/>
      </c>
      <c r="AI181" s="488"/>
      <c r="AJ181" s="490">
        <v>91</v>
      </c>
      <c r="AK181" s="490" t="s">
        <v>1207</v>
      </c>
    </row>
    <row r="182" spans="1:37" x14ac:dyDescent="0.25">
      <c r="A182" s="483" t="s">
        <v>351</v>
      </c>
      <c r="B182" s="484"/>
      <c r="C182" s="485"/>
      <c r="D182" s="485"/>
      <c r="E182" s="485"/>
      <c r="F182" s="485"/>
      <c r="G182" s="486"/>
      <c r="H182" s="487">
        <v>1</v>
      </c>
      <c r="I182" s="484"/>
      <c r="J182" s="485"/>
      <c r="K182" s="485"/>
      <c r="L182" s="485"/>
      <c r="M182" s="485"/>
      <c r="N182" s="486"/>
      <c r="O182" s="487"/>
      <c r="P182" s="485"/>
      <c r="Q182" s="485"/>
      <c r="R182" s="485"/>
      <c r="S182" s="485"/>
      <c r="T182" s="485"/>
      <c r="U182" s="486"/>
      <c r="V182" s="486"/>
      <c r="W182" s="484"/>
      <c r="X182" s="485"/>
      <c r="Y182" s="485"/>
      <c r="Z182" s="485"/>
      <c r="AA182" s="485"/>
      <c r="AB182" s="486"/>
      <c r="AC182" s="487"/>
      <c r="AD182" s="486" t="s">
        <v>1206</v>
      </c>
      <c r="AE182" s="458" t="str">
        <f t="shared" si="23"/>
        <v/>
      </c>
      <c r="AF182" t="str">
        <f t="shared" si="24"/>
        <v/>
      </c>
      <c r="AG182" t="str">
        <f t="shared" si="25"/>
        <v/>
      </c>
      <c r="AH182" t="str">
        <f t="shared" si="26"/>
        <v/>
      </c>
      <c r="AI182" s="488"/>
      <c r="AJ182" s="490">
        <v>229</v>
      </c>
      <c r="AK182" s="490" t="s">
        <v>1207</v>
      </c>
    </row>
    <row r="183" spans="1:37" x14ac:dyDescent="0.25">
      <c r="A183" s="483" t="s">
        <v>354</v>
      </c>
      <c r="B183" s="484"/>
      <c r="C183" s="485"/>
      <c r="D183" s="485"/>
      <c r="E183" s="485"/>
      <c r="F183" s="485"/>
      <c r="G183" s="486" t="s">
        <v>1212</v>
      </c>
      <c r="H183" s="487">
        <v>1</v>
      </c>
      <c r="I183" s="484"/>
      <c r="J183" s="485"/>
      <c r="K183" s="485"/>
      <c r="L183" s="485"/>
      <c r="M183" s="485"/>
      <c r="N183" s="486"/>
      <c r="O183" s="487"/>
      <c r="P183" s="485"/>
      <c r="Q183" s="485"/>
      <c r="R183" s="485"/>
      <c r="S183" s="485"/>
      <c r="T183" s="485"/>
      <c r="U183" s="486" t="s">
        <v>1208</v>
      </c>
      <c r="V183" s="486">
        <v>1</v>
      </c>
      <c r="W183" s="484"/>
      <c r="X183" s="485"/>
      <c r="Y183" s="485"/>
      <c r="Z183" s="485"/>
      <c r="AA183" s="485"/>
      <c r="AB183" s="486"/>
      <c r="AC183" s="487"/>
      <c r="AD183" s="486" t="s">
        <v>1206</v>
      </c>
      <c r="AE183" s="458">
        <f t="shared" si="23"/>
        <v>25</v>
      </c>
      <c r="AF183" t="str">
        <f t="shared" si="24"/>
        <v/>
      </c>
      <c r="AG183">
        <f t="shared" si="25"/>
        <v>45</v>
      </c>
      <c r="AH183" t="str">
        <f t="shared" si="26"/>
        <v/>
      </c>
      <c r="AI183" s="488"/>
      <c r="AJ183" s="490">
        <v>92</v>
      </c>
      <c r="AK183" s="490" t="s">
        <v>1207</v>
      </c>
    </row>
    <row r="184" spans="1:37" x14ac:dyDescent="0.25">
      <c r="A184" s="483" t="s">
        <v>357</v>
      </c>
      <c r="B184" s="484"/>
      <c r="C184" s="485"/>
      <c r="D184" s="485"/>
      <c r="E184" s="485"/>
      <c r="F184" s="485"/>
      <c r="G184" s="486" t="s">
        <v>1205</v>
      </c>
      <c r="H184" s="487">
        <v>3</v>
      </c>
      <c r="I184" s="484"/>
      <c r="J184" s="485"/>
      <c r="K184" s="485"/>
      <c r="L184" s="485"/>
      <c r="M184" s="485"/>
      <c r="N184" s="486"/>
      <c r="O184" s="487"/>
      <c r="P184" s="485"/>
      <c r="Q184" s="485"/>
      <c r="R184" s="485"/>
      <c r="S184" s="485"/>
      <c r="T184" s="485"/>
      <c r="U184" s="486" t="s">
        <v>1208</v>
      </c>
      <c r="V184" s="486"/>
      <c r="W184" s="484"/>
      <c r="X184" s="485"/>
      <c r="Y184" s="485"/>
      <c r="Z184" s="485"/>
      <c r="AA184" s="485"/>
      <c r="AB184" s="486"/>
      <c r="AC184" s="487"/>
      <c r="AD184" s="486" t="s">
        <v>1206</v>
      </c>
      <c r="AE184" s="458">
        <f t="shared" si="23"/>
        <v>35</v>
      </c>
      <c r="AF184" t="str">
        <f t="shared" si="24"/>
        <v/>
      </c>
      <c r="AG184">
        <f t="shared" si="25"/>
        <v>45</v>
      </c>
      <c r="AH184" t="str">
        <f t="shared" si="26"/>
        <v/>
      </c>
      <c r="AI184" s="488"/>
      <c r="AJ184" s="490">
        <v>230</v>
      </c>
      <c r="AK184" s="490" t="s">
        <v>1207</v>
      </c>
    </row>
    <row r="185" spans="1:37" x14ac:dyDescent="0.25">
      <c r="A185" s="483" t="s">
        <v>360</v>
      </c>
      <c r="B185" s="484"/>
      <c r="C185" s="485"/>
      <c r="D185" s="485"/>
      <c r="E185" s="485"/>
      <c r="F185" s="485"/>
      <c r="G185" s="486" t="s">
        <v>1205</v>
      </c>
      <c r="H185" s="487">
        <v>1</v>
      </c>
      <c r="I185" s="484" t="s">
        <v>66</v>
      </c>
      <c r="J185" s="485" t="s">
        <v>66</v>
      </c>
      <c r="K185" s="485" t="s">
        <v>66</v>
      </c>
      <c r="L185" s="485"/>
      <c r="M185" s="485"/>
      <c r="N185" s="486" t="s">
        <v>1208</v>
      </c>
      <c r="O185" s="487">
        <v>1</v>
      </c>
      <c r="P185" s="485"/>
      <c r="Q185" s="485"/>
      <c r="R185" s="485"/>
      <c r="S185" s="485"/>
      <c r="T185" s="485"/>
      <c r="U185" s="486" t="s">
        <v>1205</v>
      </c>
      <c r="V185" s="486">
        <v>1</v>
      </c>
      <c r="W185" s="484"/>
      <c r="X185" s="485"/>
      <c r="Y185" s="485"/>
      <c r="Z185" s="485"/>
      <c r="AA185" s="485"/>
      <c r="AB185" s="486"/>
      <c r="AC185" s="487"/>
      <c r="AD185" s="486" t="s">
        <v>1206</v>
      </c>
      <c r="AE185" s="458">
        <f t="shared" si="23"/>
        <v>35</v>
      </c>
      <c r="AF185">
        <f t="shared" si="24"/>
        <v>35</v>
      </c>
      <c r="AG185">
        <f t="shared" si="25"/>
        <v>45</v>
      </c>
      <c r="AH185" t="str">
        <f t="shared" si="26"/>
        <v/>
      </c>
      <c r="AI185" s="488">
        <v>200</v>
      </c>
      <c r="AJ185" s="490">
        <v>93</v>
      </c>
      <c r="AK185" s="490" t="s">
        <v>1207</v>
      </c>
    </row>
    <row r="186" spans="1:37" x14ac:dyDescent="0.25">
      <c r="A186" s="483" t="s">
        <v>702</v>
      </c>
      <c r="B186" s="491"/>
      <c r="C186" s="492"/>
      <c r="D186" s="492"/>
      <c r="E186" s="492"/>
      <c r="F186" s="492"/>
      <c r="G186" s="493"/>
      <c r="H186" s="494"/>
      <c r="I186" s="484"/>
      <c r="J186" s="485"/>
      <c r="K186" s="485"/>
      <c r="L186" s="485"/>
      <c r="M186" s="485"/>
      <c r="N186" s="486"/>
      <c r="O186" s="487">
        <v>2</v>
      </c>
      <c r="P186" s="485"/>
      <c r="Q186" s="485"/>
      <c r="R186" s="485"/>
      <c r="S186" s="485"/>
      <c r="T186" s="485"/>
      <c r="U186" s="486"/>
      <c r="V186" s="486"/>
      <c r="W186" s="484"/>
      <c r="X186" s="485"/>
      <c r="Y186" s="485"/>
      <c r="Z186" s="485"/>
      <c r="AA186" s="485"/>
      <c r="AB186" s="486"/>
      <c r="AC186" s="487"/>
      <c r="AD186" s="486"/>
      <c r="AE186" s="458" t="str">
        <f t="shared" si="23"/>
        <v/>
      </c>
      <c r="AF186" t="str">
        <f t="shared" si="24"/>
        <v/>
      </c>
      <c r="AG186" t="str">
        <f t="shared" si="25"/>
        <v/>
      </c>
      <c r="AH186" t="str">
        <f t="shared" si="26"/>
        <v/>
      </c>
      <c r="AI186" s="488"/>
      <c r="AJ186" s="490"/>
      <c r="AK186" s="490"/>
    </row>
    <row r="187" spans="1:37" x14ac:dyDescent="0.25">
      <c r="A187" s="483" t="s">
        <v>1354</v>
      </c>
      <c r="B187" s="491"/>
      <c r="C187" s="492"/>
      <c r="D187" s="492"/>
      <c r="E187" s="492"/>
      <c r="F187" s="492"/>
      <c r="G187" s="493"/>
      <c r="H187" s="494"/>
      <c r="I187" s="484"/>
      <c r="J187" s="485"/>
      <c r="K187" s="485"/>
      <c r="L187" s="485"/>
      <c r="M187" s="485"/>
      <c r="N187" s="486" t="s">
        <v>1209</v>
      </c>
      <c r="O187" s="487">
        <v>2</v>
      </c>
      <c r="P187" s="485"/>
      <c r="Q187" s="485"/>
      <c r="R187" s="485"/>
      <c r="S187" s="485"/>
      <c r="T187" s="485"/>
      <c r="U187" s="486"/>
      <c r="V187" s="486"/>
      <c r="W187" s="484"/>
      <c r="X187" s="485"/>
      <c r="Y187" s="485"/>
      <c r="Z187" s="485"/>
      <c r="AA187" s="485"/>
      <c r="AB187" s="486"/>
      <c r="AC187" s="487"/>
      <c r="AD187" s="486" t="s">
        <v>1206</v>
      </c>
      <c r="AE187" s="458" t="str">
        <f t="shared" si="23"/>
        <v/>
      </c>
      <c r="AF187">
        <f t="shared" si="24"/>
        <v>55</v>
      </c>
      <c r="AG187" t="str">
        <f t="shared" si="25"/>
        <v/>
      </c>
      <c r="AH187" t="str">
        <f t="shared" si="26"/>
        <v/>
      </c>
      <c r="AI187" s="488"/>
      <c r="AJ187" s="490">
        <v>94</v>
      </c>
      <c r="AK187" s="490" t="s">
        <v>1207</v>
      </c>
    </row>
    <row r="188" spans="1:37" x14ac:dyDescent="0.25">
      <c r="A188" s="483" t="s">
        <v>363</v>
      </c>
      <c r="B188" s="484" t="s">
        <v>66</v>
      </c>
      <c r="C188" s="485"/>
      <c r="D188" s="485" t="s">
        <v>66</v>
      </c>
      <c r="E188" s="485"/>
      <c r="F188" s="485"/>
      <c r="G188" s="486" t="s">
        <v>1209</v>
      </c>
      <c r="H188" s="487">
        <v>2</v>
      </c>
      <c r="I188" s="484" t="s">
        <v>66</v>
      </c>
      <c r="J188" s="485" t="s">
        <v>66</v>
      </c>
      <c r="K188" s="485" t="s">
        <v>66</v>
      </c>
      <c r="L188" s="485"/>
      <c r="M188" s="485"/>
      <c r="N188" s="486" t="s">
        <v>1209</v>
      </c>
      <c r="O188" s="487">
        <v>2</v>
      </c>
      <c r="P188" s="485" t="s">
        <v>66</v>
      </c>
      <c r="Q188" s="485"/>
      <c r="R188" s="485" t="s">
        <v>56</v>
      </c>
      <c r="S188" s="485" t="s">
        <v>56</v>
      </c>
      <c r="T188" s="485"/>
      <c r="U188" s="486" t="s">
        <v>1209</v>
      </c>
      <c r="V188" s="486">
        <v>2</v>
      </c>
      <c r="W188" s="484"/>
      <c r="X188" s="485"/>
      <c r="Y188" s="485"/>
      <c r="Z188" s="485"/>
      <c r="AA188" s="485"/>
      <c r="AB188" s="486"/>
      <c r="AC188" s="487"/>
      <c r="AD188" s="486" t="s">
        <v>1206</v>
      </c>
      <c r="AE188" s="458">
        <f t="shared" si="23"/>
        <v>55</v>
      </c>
      <c r="AF188">
        <f t="shared" si="24"/>
        <v>55</v>
      </c>
      <c r="AG188">
        <f t="shared" si="25"/>
        <v>60</v>
      </c>
      <c r="AH188" t="str">
        <f t="shared" si="26"/>
        <v/>
      </c>
      <c r="AI188" s="488"/>
      <c r="AJ188" s="490">
        <v>94</v>
      </c>
      <c r="AK188" s="490" t="s">
        <v>1207</v>
      </c>
    </row>
    <row r="189" spans="1:37" x14ac:dyDescent="0.25">
      <c r="A189" s="483" t="s">
        <v>366</v>
      </c>
      <c r="B189" s="484"/>
      <c r="C189" s="485"/>
      <c r="D189" s="485"/>
      <c r="E189" s="485"/>
      <c r="F189" s="485"/>
      <c r="G189" s="486" t="s">
        <v>1205</v>
      </c>
      <c r="H189" s="487">
        <v>2</v>
      </c>
      <c r="I189" s="484"/>
      <c r="J189" s="485"/>
      <c r="K189" s="485"/>
      <c r="L189" s="485"/>
      <c r="M189" s="485"/>
      <c r="N189" s="486"/>
      <c r="O189" s="487"/>
      <c r="P189" s="485"/>
      <c r="Q189" s="485"/>
      <c r="R189" s="485"/>
      <c r="S189" s="485"/>
      <c r="T189" s="485"/>
      <c r="U189" s="486"/>
      <c r="V189" s="486"/>
      <c r="W189" s="484"/>
      <c r="X189" s="485"/>
      <c r="Y189" s="485"/>
      <c r="Z189" s="485"/>
      <c r="AA189" s="485"/>
      <c r="AB189" s="486"/>
      <c r="AC189" s="487"/>
      <c r="AD189" s="486" t="s">
        <v>1206</v>
      </c>
      <c r="AE189" s="458">
        <f t="shared" si="23"/>
        <v>35</v>
      </c>
      <c r="AF189" t="str">
        <f t="shared" si="24"/>
        <v/>
      </c>
      <c r="AG189" t="str">
        <f t="shared" si="25"/>
        <v/>
      </c>
      <c r="AH189" t="str">
        <f t="shared" si="26"/>
        <v/>
      </c>
      <c r="AI189" s="488"/>
      <c r="AJ189" s="489"/>
      <c r="AK189" s="490" t="s">
        <v>1207</v>
      </c>
    </row>
    <row r="190" spans="1:37" x14ac:dyDescent="0.25">
      <c r="A190" s="483" t="s">
        <v>368</v>
      </c>
      <c r="B190" s="484"/>
      <c r="C190" s="485"/>
      <c r="D190" s="485"/>
      <c r="E190" s="485"/>
      <c r="F190" s="485"/>
      <c r="G190" s="486"/>
      <c r="H190" s="487">
        <v>2</v>
      </c>
      <c r="I190" s="484" t="s">
        <v>66</v>
      </c>
      <c r="J190" s="485" t="s">
        <v>66</v>
      </c>
      <c r="K190" s="485" t="s">
        <v>66</v>
      </c>
      <c r="L190" s="485"/>
      <c r="M190" s="485"/>
      <c r="N190" s="486" t="s">
        <v>1209</v>
      </c>
      <c r="O190" s="487">
        <v>2</v>
      </c>
      <c r="P190" s="485"/>
      <c r="Q190" s="485"/>
      <c r="R190" s="485"/>
      <c r="S190" s="485"/>
      <c r="T190" s="485"/>
      <c r="U190" s="486"/>
      <c r="V190" s="486"/>
      <c r="W190" s="484"/>
      <c r="X190" s="485"/>
      <c r="Y190" s="485"/>
      <c r="Z190" s="485"/>
      <c r="AA190" s="485"/>
      <c r="AB190" s="486"/>
      <c r="AC190" s="487"/>
      <c r="AD190" s="486" t="s">
        <v>1206</v>
      </c>
      <c r="AE190" s="458" t="str">
        <f t="shared" si="23"/>
        <v/>
      </c>
      <c r="AF190">
        <f t="shared" si="24"/>
        <v>55</v>
      </c>
      <c r="AG190" t="str">
        <f t="shared" si="25"/>
        <v/>
      </c>
      <c r="AH190" t="str">
        <f t="shared" si="26"/>
        <v/>
      </c>
      <c r="AI190" s="488"/>
      <c r="AJ190" s="489"/>
      <c r="AK190" s="490"/>
    </row>
    <row r="191" spans="1:37" x14ac:dyDescent="0.25">
      <c r="A191" s="483" t="s">
        <v>705</v>
      </c>
      <c r="B191" s="491"/>
      <c r="C191" s="492"/>
      <c r="D191" s="492"/>
      <c r="E191" s="492"/>
      <c r="F191" s="492"/>
      <c r="G191" s="493"/>
      <c r="H191" s="494"/>
      <c r="I191" s="484"/>
      <c r="J191" s="485"/>
      <c r="K191" s="485"/>
      <c r="L191" s="485"/>
      <c r="M191" s="485"/>
      <c r="N191" s="486"/>
      <c r="O191" s="487">
        <v>2</v>
      </c>
      <c r="P191" s="485"/>
      <c r="Q191" s="485"/>
      <c r="R191" s="485"/>
      <c r="S191" s="485"/>
      <c r="T191" s="485"/>
      <c r="U191" s="486"/>
      <c r="V191" s="486"/>
      <c r="W191" s="484"/>
      <c r="X191" s="485"/>
      <c r="Y191" s="485"/>
      <c r="Z191" s="485"/>
      <c r="AA191" s="485"/>
      <c r="AB191" s="486"/>
      <c r="AC191" s="487"/>
      <c r="AD191" s="486"/>
      <c r="AE191" s="458" t="str">
        <f t="shared" si="23"/>
        <v/>
      </c>
      <c r="AF191" t="str">
        <f t="shared" si="24"/>
        <v/>
      </c>
      <c r="AG191" t="str">
        <f t="shared" si="25"/>
        <v/>
      </c>
      <c r="AH191" t="str">
        <f t="shared" si="26"/>
        <v/>
      </c>
      <c r="AI191" s="488"/>
      <c r="AJ191" s="489"/>
      <c r="AK191" s="490"/>
    </row>
    <row r="192" spans="1:37" x14ac:dyDescent="0.25">
      <c r="A192" s="483" t="s">
        <v>370</v>
      </c>
      <c r="B192" s="484"/>
      <c r="C192" s="485"/>
      <c r="D192" s="485"/>
      <c r="E192" s="485"/>
      <c r="F192" s="485"/>
      <c r="G192" s="486" t="s">
        <v>1212</v>
      </c>
      <c r="H192" s="487">
        <v>1</v>
      </c>
      <c r="I192" s="484"/>
      <c r="J192" s="485"/>
      <c r="K192" s="485"/>
      <c r="L192" s="485"/>
      <c r="M192" s="485"/>
      <c r="N192" s="486"/>
      <c r="O192" s="487"/>
      <c r="P192" s="485"/>
      <c r="Q192" s="485"/>
      <c r="R192" s="485"/>
      <c r="S192" s="485"/>
      <c r="T192" s="485"/>
      <c r="U192" s="486"/>
      <c r="V192" s="486"/>
      <c r="W192" s="484"/>
      <c r="X192" s="485"/>
      <c r="Y192" s="485"/>
      <c r="Z192" s="485"/>
      <c r="AA192" s="485"/>
      <c r="AB192" s="486"/>
      <c r="AC192" s="487"/>
      <c r="AD192" s="486" t="s">
        <v>1206</v>
      </c>
      <c r="AE192" s="458">
        <f t="shared" si="23"/>
        <v>25</v>
      </c>
      <c r="AF192" t="str">
        <f t="shared" si="24"/>
        <v/>
      </c>
      <c r="AI192" s="488"/>
      <c r="AJ192" s="489"/>
      <c r="AK192" s="490"/>
    </row>
    <row r="193" spans="1:37" x14ac:dyDescent="0.25">
      <c r="A193" s="483" t="s">
        <v>708</v>
      </c>
      <c r="B193" s="491"/>
      <c r="C193" s="492"/>
      <c r="D193" s="492"/>
      <c r="E193" s="492"/>
      <c r="F193" s="492"/>
      <c r="G193" s="493"/>
      <c r="H193" s="494"/>
      <c r="I193" s="484"/>
      <c r="J193" s="485"/>
      <c r="K193" s="485"/>
      <c r="L193" s="485"/>
      <c r="M193" s="485"/>
      <c r="N193" s="486"/>
      <c r="O193" s="487">
        <v>2</v>
      </c>
      <c r="P193" s="485"/>
      <c r="Q193" s="485"/>
      <c r="R193" s="485"/>
      <c r="S193" s="485"/>
      <c r="T193" s="485"/>
      <c r="U193" s="486"/>
      <c r="V193" s="486"/>
      <c r="W193" s="484"/>
      <c r="X193" s="485"/>
      <c r="Y193" s="485"/>
      <c r="Z193" s="485"/>
      <c r="AA193" s="485"/>
      <c r="AB193" s="486"/>
      <c r="AC193" s="487"/>
      <c r="AD193" s="486"/>
      <c r="AE193" s="458" t="str">
        <f t="shared" si="23"/>
        <v/>
      </c>
      <c r="AF193" t="str">
        <f t="shared" si="24"/>
        <v/>
      </c>
      <c r="AG193" t="str">
        <f t="shared" ref="AG193:AG224" si="27">IF(U193="S",30,IF(U193="M",45,IF(U193="L",60,"")))</f>
        <v/>
      </c>
      <c r="AH193" t="str">
        <f t="shared" ref="AH193:AH224" si="28">IF(AB193="S",30,IF(AB193="M",45,IF(AB193="L",60,"")))</f>
        <v/>
      </c>
      <c r="AI193" s="488"/>
      <c r="AJ193" s="489"/>
      <c r="AK193" s="490"/>
    </row>
    <row r="194" spans="1:37" x14ac:dyDescent="0.25">
      <c r="A194" s="483" t="s">
        <v>373</v>
      </c>
      <c r="B194" s="484"/>
      <c r="C194" s="485"/>
      <c r="D194" s="485"/>
      <c r="E194" s="485"/>
      <c r="F194" s="485"/>
      <c r="G194" s="486" t="s">
        <v>1205</v>
      </c>
      <c r="H194" s="487">
        <v>1</v>
      </c>
      <c r="I194" s="484" t="s">
        <v>66</v>
      </c>
      <c r="J194" s="485"/>
      <c r="K194" s="485" t="s">
        <v>66</v>
      </c>
      <c r="L194" s="485" t="s">
        <v>66</v>
      </c>
      <c r="M194" s="485" t="s">
        <v>66</v>
      </c>
      <c r="N194" s="486" t="s">
        <v>1205</v>
      </c>
      <c r="O194" s="487">
        <v>1</v>
      </c>
      <c r="P194" s="485"/>
      <c r="Q194" s="485"/>
      <c r="R194" s="485"/>
      <c r="S194" s="485"/>
      <c r="T194" s="485"/>
      <c r="U194" s="486" t="s">
        <v>1209</v>
      </c>
      <c r="V194" s="486">
        <v>1</v>
      </c>
      <c r="W194" s="484"/>
      <c r="X194" s="485"/>
      <c r="Y194" s="485"/>
      <c r="Z194" s="485"/>
      <c r="AA194" s="485"/>
      <c r="AB194" s="486"/>
      <c r="AC194" s="487"/>
      <c r="AD194" s="486" t="s">
        <v>1206</v>
      </c>
      <c r="AE194" s="458">
        <f t="shared" si="23"/>
        <v>35</v>
      </c>
      <c r="AF194">
        <f t="shared" si="24"/>
        <v>35</v>
      </c>
      <c r="AG194">
        <f t="shared" si="27"/>
        <v>60</v>
      </c>
      <c r="AH194" t="str">
        <f t="shared" si="28"/>
        <v/>
      </c>
      <c r="AI194" s="488"/>
      <c r="AJ194" s="490">
        <v>96</v>
      </c>
      <c r="AK194" s="490" t="s">
        <v>1207</v>
      </c>
    </row>
    <row r="195" spans="1:37" x14ac:dyDescent="0.25">
      <c r="A195" s="483" t="s">
        <v>376</v>
      </c>
      <c r="B195" s="484"/>
      <c r="C195" s="485"/>
      <c r="D195" s="485"/>
      <c r="E195" s="485"/>
      <c r="F195" s="485"/>
      <c r="G195" s="486" t="s">
        <v>1208</v>
      </c>
      <c r="H195" s="487">
        <v>1</v>
      </c>
      <c r="I195" s="484" t="s">
        <v>66</v>
      </c>
      <c r="J195" s="485"/>
      <c r="K195" s="485" t="s">
        <v>66</v>
      </c>
      <c r="L195" s="485"/>
      <c r="M195" s="485" t="s">
        <v>66</v>
      </c>
      <c r="N195" s="486" t="s">
        <v>1209</v>
      </c>
      <c r="O195" s="487">
        <v>1</v>
      </c>
      <c r="P195" s="485"/>
      <c r="Q195" s="485"/>
      <c r="R195" s="485"/>
      <c r="S195" s="485"/>
      <c r="T195" s="485"/>
      <c r="U195" s="486" t="s">
        <v>1209</v>
      </c>
      <c r="V195" s="486">
        <v>1</v>
      </c>
      <c r="W195" s="484"/>
      <c r="X195" s="485"/>
      <c r="Y195" s="485"/>
      <c r="Z195" s="485"/>
      <c r="AA195" s="485"/>
      <c r="AB195" s="486"/>
      <c r="AC195" s="487"/>
      <c r="AD195" s="486" t="s">
        <v>1206</v>
      </c>
      <c r="AE195" s="458">
        <f t="shared" si="23"/>
        <v>35</v>
      </c>
      <c r="AF195">
        <f t="shared" si="24"/>
        <v>55</v>
      </c>
      <c r="AG195">
        <f t="shared" si="27"/>
        <v>60</v>
      </c>
      <c r="AH195" t="str">
        <f t="shared" si="28"/>
        <v/>
      </c>
      <c r="AI195" s="488"/>
      <c r="AJ195" s="490">
        <v>97</v>
      </c>
      <c r="AK195" s="490" t="s">
        <v>1207</v>
      </c>
    </row>
    <row r="196" spans="1:37" x14ac:dyDescent="0.25">
      <c r="A196" s="483" t="s">
        <v>379</v>
      </c>
      <c r="B196" s="484"/>
      <c r="C196" s="485"/>
      <c r="D196" s="485"/>
      <c r="E196" s="485"/>
      <c r="F196" s="485"/>
      <c r="G196" s="486" t="s">
        <v>1208</v>
      </c>
      <c r="H196" s="487">
        <v>1</v>
      </c>
      <c r="I196" s="484" t="s">
        <v>66</v>
      </c>
      <c r="J196" s="485"/>
      <c r="K196" s="485" t="s">
        <v>66</v>
      </c>
      <c r="L196" s="485"/>
      <c r="M196" s="485"/>
      <c r="N196" s="486" t="s">
        <v>1209</v>
      </c>
      <c r="O196" s="487">
        <v>1</v>
      </c>
      <c r="P196" s="485"/>
      <c r="Q196" s="485"/>
      <c r="R196" s="485"/>
      <c r="S196" s="485"/>
      <c r="T196" s="485"/>
      <c r="U196" s="486"/>
      <c r="V196" s="486"/>
      <c r="W196" s="484"/>
      <c r="X196" s="485"/>
      <c r="Y196" s="485"/>
      <c r="Z196" s="485"/>
      <c r="AA196" s="485"/>
      <c r="AB196" s="486"/>
      <c r="AC196" s="487"/>
      <c r="AD196" s="486" t="s">
        <v>1206</v>
      </c>
      <c r="AE196" s="458">
        <f t="shared" si="23"/>
        <v>35</v>
      </c>
      <c r="AF196">
        <f t="shared" si="24"/>
        <v>55</v>
      </c>
      <c r="AG196" t="str">
        <f t="shared" si="27"/>
        <v/>
      </c>
      <c r="AH196" t="str">
        <f t="shared" si="28"/>
        <v/>
      </c>
      <c r="AI196" s="488"/>
      <c r="AJ196" s="490">
        <v>98</v>
      </c>
      <c r="AK196" s="490" t="s">
        <v>1207</v>
      </c>
    </row>
    <row r="197" spans="1:37" x14ac:dyDescent="0.25">
      <c r="A197" s="483" t="s">
        <v>381</v>
      </c>
      <c r="B197" s="484"/>
      <c r="C197" s="485"/>
      <c r="D197" s="485"/>
      <c r="E197" s="485"/>
      <c r="F197" s="485"/>
      <c r="G197" s="486" t="s">
        <v>1212</v>
      </c>
      <c r="H197" s="487">
        <v>2</v>
      </c>
      <c r="I197" s="484"/>
      <c r="J197" s="485"/>
      <c r="K197" s="485"/>
      <c r="L197" s="485"/>
      <c r="M197" s="485"/>
      <c r="N197" s="486"/>
      <c r="O197" s="487"/>
      <c r="P197" s="485"/>
      <c r="Q197" s="485"/>
      <c r="R197" s="485"/>
      <c r="S197" s="485"/>
      <c r="T197" s="485"/>
      <c r="U197" s="486" t="s">
        <v>1210</v>
      </c>
      <c r="V197" s="486">
        <v>2</v>
      </c>
      <c r="W197" s="484"/>
      <c r="X197" s="485"/>
      <c r="Y197" s="485"/>
      <c r="Z197" s="485"/>
      <c r="AA197" s="485"/>
      <c r="AB197" s="486"/>
      <c r="AC197" s="487"/>
      <c r="AD197" s="486" t="s">
        <v>1206</v>
      </c>
      <c r="AE197" s="458">
        <f t="shared" si="23"/>
        <v>25</v>
      </c>
      <c r="AF197" t="str">
        <f t="shared" si="24"/>
        <v/>
      </c>
      <c r="AG197">
        <f t="shared" si="27"/>
        <v>30</v>
      </c>
      <c r="AH197" t="str">
        <f t="shared" si="28"/>
        <v/>
      </c>
      <c r="AI197" s="488"/>
      <c r="AJ197" s="490">
        <v>99</v>
      </c>
      <c r="AK197" s="490" t="s">
        <v>1207</v>
      </c>
    </row>
    <row r="198" spans="1:37" x14ac:dyDescent="0.25">
      <c r="A198" s="483" t="s">
        <v>384</v>
      </c>
      <c r="B198" s="484"/>
      <c r="C198" s="485"/>
      <c r="D198" s="485"/>
      <c r="E198" s="485"/>
      <c r="F198" s="485"/>
      <c r="G198" s="486" t="s">
        <v>1210</v>
      </c>
      <c r="H198" s="487">
        <v>2</v>
      </c>
      <c r="I198" s="484"/>
      <c r="J198" s="485"/>
      <c r="K198" s="485"/>
      <c r="L198" s="485"/>
      <c r="M198" s="485"/>
      <c r="N198" s="486"/>
      <c r="O198" s="487"/>
      <c r="P198" s="485"/>
      <c r="Q198" s="485"/>
      <c r="R198" s="485"/>
      <c r="S198" s="485"/>
      <c r="T198" s="485"/>
      <c r="U198" s="486"/>
      <c r="V198" s="486"/>
      <c r="W198" s="484"/>
      <c r="X198" s="485"/>
      <c r="Y198" s="485"/>
      <c r="Z198" s="485"/>
      <c r="AA198" s="485"/>
      <c r="AB198" s="486"/>
      <c r="AC198" s="487"/>
      <c r="AD198" s="486" t="s">
        <v>1206</v>
      </c>
      <c r="AE198" s="458">
        <f t="shared" si="23"/>
        <v>25</v>
      </c>
      <c r="AF198" t="str">
        <f t="shared" si="24"/>
        <v/>
      </c>
      <c r="AG198" t="str">
        <f t="shared" si="27"/>
        <v/>
      </c>
      <c r="AH198" t="str">
        <f t="shared" si="28"/>
        <v/>
      </c>
      <c r="AI198" s="488"/>
      <c r="AJ198" s="490">
        <v>100</v>
      </c>
      <c r="AK198" s="490" t="s">
        <v>1207</v>
      </c>
    </row>
    <row r="199" spans="1:37" x14ac:dyDescent="0.25">
      <c r="A199" s="483" t="s">
        <v>385</v>
      </c>
      <c r="B199" s="484"/>
      <c r="C199" s="485"/>
      <c r="D199" s="485"/>
      <c r="E199" s="485"/>
      <c r="F199" s="485"/>
      <c r="G199" s="486" t="s">
        <v>1205</v>
      </c>
      <c r="H199" s="487">
        <v>2</v>
      </c>
      <c r="I199" s="484"/>
      <c r="J199" s="485"/>
      <c r="K199" s="485"/>
      <c r="L199" s="485"/>
      <c r="M199" s="485"/>
      <c r="N199" s="486"/>
      <c r="O199" s="487"/>
      <c r="P199" s="485"/>
      <c r="Q199" s="485"/>
      <c r="R199" s="485"/>
      <c r="S199" s="485"/>
      <c r="T199" s="485"/>
      <c r="U199" s="486"/>
      <c r="V199" s="486"/>
      <c r="W199" s="484"/>
      <c r="X199" s="485"/>
      <c r="Y199" s="485"/>
      <c r="Z199" s="485"/>
      <c r="AA199" s="485"/>
      <c r="AB199" s="486"/>
      <c r="AC199" s="487"/>
      <c r="AD199" s="486" t="s">
        <v>1206</v>
      </c>
      <c r="AE199" s="458">
        <f t="shared" si="23"/>
        <v>35</v>
      </c>
      <c r="AF199" t="str">
        <f t="shared" si="24"/>
        <v/>
      </c>
      <c r="AG199" t="str">
        <f t="shared" si="27"/>
        <v/>
      </c>
      <c r="AH199" t="str">
        <f t="shared" si="28"/>
        <v/>
      </c>
      <c r="AI199" s="488"/>
      <c r="AJ199" s="490">
        <v>481</v>
      </c>
      <c r="AK199" s="490" t="s">
        <v>1207</v>
      </c>
    </row>
    <row r="200" spans="1:37" x14ac:dyDescent="0.25">
      <c r="A200" s="483" t="s">
        <v>388</v>
      </c>
      <c r="B200" s="484"/>
      <c r="C200" s="485"/>
      <c r="D200" s="485"/>
      <c r="E200" s="485"/>
      <c r="F200" s="485"/>
      <c r="G200" s="486"/>
      <c r="H200" s="487">
        <v>2</v>
      </c>
      <c r="I200" s="484"/>
      <c r="J200" s="485"/>
      <c r="K200" s="485"/>
      <c r="L200" s="485"/>
      <c r="M200" s="485"/>
      <c r="N200" s="486"/>
      <c r="O200" s="487"/>
      <c r="P200" s="485"/>
      <c r="Q200" s="485"/>
      <c r="R200" s="485"/>
      <c r="S200" s="485"/>
      <c r="T200" s="485"/>
      <c r="U200" s="486"/>
      <c r="V200" s="486"/>
      <c r="W200" s="484"/>
      <c r="X200" s="485"/>
      <c r="Y200" s="485"/>
      <c r="Z200" s="485"/>
      <c r="AA200" s="485"/>
      <c r="AB200" s="486"/>
      <c r="AC200" s="487"/>
      <c r="AD200" s="486" t="s">
        <v>1206</v>
      </c>
      <c r="AE200" s="458" t="str">
        <f t="shared" si="23"/>
        <v/>
      </c>
      <c r="AF200" t="str">
        <f t="shared" si="24"/>
        <v/>
      </c>
      <c r="AG200" t="str">
        <f t="shared" si="27"/>
        <v/>
      </c>
      <c r="AH200" t="str">
        <f t="shared" si="28"/>
        <v/>
      </c>
      <c r="AI200" s="488"/>
      <c r="AJ200" s="489"/>
      <c r="AK200" s="490" t="s">
        <v>1207</v>
      </c>
    </row>
    <row r="201" spans="1:37" x14ac:dyDescent="0.25">
      <c r="A201" s="483" t="s">
        <v>391</v>
      </c>
      <c r="B201" s="484"/>
      <c r="C201" s="485"/>
      <c r="D201" s="485"/>
      <c r="E201" s="485"/>
      <c r="F201" s="485"/>
      <c r="G201" s="486" t="s">
        <v>1205</v>
      </c>
      <c r="H201" s="487">
        <v>2</v>
      </c>
      <c r="I201" s="484"/>
      <c r="J201" s="485"/>
      <c r="K201" s="485"/>
      <c r="L201" s="485"/>
      <c r="M201" s="485"/>
      <c r="N201" s="486"/>
      <c r="O201" s="487"/>
      <c r="P201" s="485"/>
      <c r="Q201" s="485"/>
      <c r="R201" s="485"/>
      <c r="S201" s="485"/>
      <c r="T201" s="485"/>
      <c r="U201" s="486"/>
      <c r="V201" s="486"/>
      <c r="W201" s="484"/>
      <c r="X201" s="485"/>
      <c r="Y201" s="485"/>
      <c r="Z201" s="485"/>
      <c r="AA201" s="485"/>
      <c r="AB201" s="486"/>
      <c r="AC201" s="487"/>
      <c r="AD201" s="486" t="s">
        <v>1206</v>
      </c>
      <c r="AE201" s="458">
        <f t="shared" si="23"/>
        <v>35</v>
      </c>
      <c r="AF201" t="str">
        <f t="shared" si="24"/>
        <v/>
      </c>
      <c r="AG201" t="str">
        <f t="shared" si="27"/>
        <v/>
      </c>
      <c r="AH201" t="str">
        <f t="shared" si="28"/>
        <v/>
      </c>
      <c r="AI201" s="488"/>
      <c r="AJ201" s="490">
        <v>482</v>
      </c>
      <c r="AK201" s="490" t="s">
        <v>1207</v>
      </c>
    </row>
    <row r="202" spans="1:37" x14ac:dyDescent="0.25">
      <c r="A202" s="483" t="s">
        <v>394</v>
      </c>
      <c r="B202" s="484"/>
      <c r="C202" s="485"/>
      <c r="D202" s="485"/>
      <c r="E202" s="485"/>
      <c r="F202" s="485"/>
      <c r="G202" s="486" t="s">
        <v>1205</v>
      </c>
      <c r="H202" s="487">
        <v>2</v>
      </c>
      <c r="I202" s="484"/>
      <c r="J202" s="485"/>
      <c r="K202" s="485"/>
      <c r="L202" s="485"/>
      <c r="M202" s="485"/>
      <c r="N202" s="486"/>
      <c r="O202" s="487"/>
      <c r="P202" s="485"/>
      <c r="Q202" s="485"/>
      <c r="R202" s="485"/>
      <c r="S202" s="485"/>
      <c r="T202" s="485"/>
      <c r="U202" s="486"/>
      <c r="V202" s="486"/>
      <c r="W202" s="484"/>
      <c r="X202" s="485"/>
      <c r="Y202" s="485"/>
      <c r="Z202" s="485"/>
      <c r="AA202" s="485"/>
      <c r="AB202" s="486"/>
      <c r="AC202" s="487"/>
      <c r="AD202" s="486" t="s">
        <v>1206</v>
      </c>
      <c r="AE202" s="458">
        <f t="shared" si="23"/>
        <v>35</v>
      </c>
      <c r="AF202" t="str">
        <f t="shared" si="24"/>
        <v/>
      </c>
      <c r="AG202" t="str">
        <f t="shared" si="27"/>
        <v/>
      </c>
      <c r="AH202" t="str">
        <f t="shared" si="28"/>
        <v/>
      </c>
      <c r="AI202" s="488"/>
      <c r="AJ202" s="490">
        <v>483</v>
      </c>
      <c r="AK202" s="490" t="s">
        <v>1207</v>
      </c>
    </row>
    <row r="203" spans="1:37" x14ac:dyDescent="0.25">
      <c r="A203" s="483" t="s">
        <v>397</v>
      </c>
      <c r="B203" s="484"/>
      <c r="C203" s="485"/>
      <c r="D203" s="485"/>
      <c r="E203" s="485"/>
      <c r="F203" s="485"/>
      <c r="G203" s="486"/>
      <c r="H203" s="487">
        <v>2</v>
      </c>
      <c r="I203" s="484"/>
      <c r="J203" s="485"/>
      <c r="K203" s="485"/>
      <c r="L203" s="485"/>
      <c r="M203" s="485"/>
      <c r="N203" s="486"/>
      <c r="O203" s="487"/>
      <c r="P203" s="485"/>
      <c r="Q203" s="485"/>
      <c r="R203" s="485"/>
      <c r="S203" s="485"/>
      <c r="T203" s="485"/>
      <c r="U203" s="486"/>
      <c r="V203" s="486"/>
      <c r="W203" s="484"/>
      <c r="X203" s="485"/>
      <c r="Y203" s="485"/>
      <c r="Z203" s="485"/>
      <c r="AA203" s="485"/>
      <c r="AB203" s="486"/>
      <c r="AC203" s="487"/>
      <c r="AD203" s="486" t="s">
        <v>1206</v>
      </c>
      <c r="AE203" s="458" t="str">
        <f t="shared" si="23"/>
        <v/>
      </c>
      <c r="AF203" t="str">
        <f t="shared" si="24"/>
        <v/>
      </c>
      <c r="AG203" t="str">
        <f t="shared" si="27"/>
        <v/>
      </c>
      <c r="AH203" t="str">
        <f t="shared" si="28"/>
        <v/>
      </c>
      <c r="AI203" s="488"/>
      <c r="AJ203" s="489"/>
      <c r="AK203" s="490" t="s">
        <v>1207</v>
      </c>
    </row>
    <row r="204" spans="1:37" x14ac:dyDescent="0.25">
      <c r="A204" s="483" t="s">
        <v>400</v>
      </c>
      <c r="B204" s="484"/>
      <c r="C204" s="485"/>
      <c r="D204" s="485"/>
      <c r="E204" s="485"/>
      <c r="F204" s="485"/>
      <c r="G204" s="486" t="s">
        <v>1205</v>
      </c>
      <c r="H204" s="487">
        <v>2</v>
      </c>
      <c r="I204" s="484"/>
      <c r="J204" s="485"/>
      <c r="K204" s="485"/>
      <c r="L204" s="485"/>
      <c r="M204" s="485"/>
      <c r="N204" s="486"/>
      <c r="O204" s="487"/>
      <c r="P204" s="485"/>
      <c r="Q204" s="485"/>
      <c r="R204" s="485"/>
      <c r="S204" s="485"/>
      <c r="T204" s="485"/>
      <c r="U204" s="486"/>
      <c r="V204" s="486"/>
      <c r="W204" s="484"/>
      <c r="X204" s="485"/>
      <c r="Y204" s="485"/>
      <c r="Z204" s="485"/>
      <c r="AA204" s="485"/>
      <c r="AB204" s="486"/>
      <c r="AC204" s="487"/>
      <c r="AD204" s="486" t="s">
        <v>1206</v>
      </c>
      <c r="AE204" s="458">
        <f t="shared" si="23"/>
        <v>35</v>
      </c>
      <c r="AF204" t="str">
        <f t="shared" si="24"/>
        <v/>
      </c>
      <c r="AG204" t="str">
        <f t="shared" si="27"/>
        <v/>
      </c>
      <c r="AH204" t="str">
        <f t="shared" si="28"/>
        <v/>
      </c>
      <c r="AI204" s="488"/>
      <c r="AJ204" s="489"/>
      <c r="AK204" s="490" t="s">
        <v>1207</v>
      </c>
    </row>
    <row r="205" spans="1:37" x14ac:dyDescent="0.25">
      <c r="A205" s="483" t="s">
        <v>402</v>
      </c>
      <c r="B205" s="484"/>
      <c r="C205" s="485"/>
      <c r="D205" s="485"/>
      <c r="E205" s="485"/>
      <c r="F205" s="485"/>
      <c r="G205" s="486" t="s">
        <v>1205</v>
      </c>
      <c r="H205" s="487">
        <v>2</v>
      </c>
      <c r="I205" s="484"/>
      <c r="J205" s="485"/>
      <c r="K205" s="485"/>
      <c r="L205" s="485"/>
      <c r="M205" s="485"/>
      <c r="N205" s="486"/>
      <c r="O205" s="487"/>
      <c r="P205" s="485"/>
      <c r="Q205" s="485"/>
      <c r="R205" s="485"/>
      <c r="S205" s="485"/>
      <c r="T205" s="485"/>
      <c r="U205" s="486"/>
      <c r="V205" s="486"/>
      <c r="W205" s="484"/>
      <c r="X205" s="485"/>
      <c r="Y205" s="485"/>
      <c r="Z205" s="485"/>
      <c r="AA205" s="485"/>
      <c r="AB205" s="486"/>
      <c r="AC205" s="487"/>
      <c r="AD205" s="486" t="s">
        <v>1206</v>
      </c>
      <c r="AE205" s="458">
        <f t="shared" si="23"/>
        <v>35</v>
      </c>
      <c r="AF205" t="str">
        <f t="shared" si="24"/>
        <v/>
      </c>
      <c r="AG205" t="str">
        <f t="shared" si="27"/>
        <v/>
      </c>
      <c r="AH205" t="str">
        <f t="shared" si="28"/>
        <v/>
      </c>
      <c r="AI205" s="488"/>
      <c r="AJ205" s="490">
        <v>484</v>
      </c>
      <c r="AK205" s="490" t="s">
        <v>1207</v>
      </c>
    </row>
    <row r="206" spans="1:37" x14ac:dyDescent="0.25">
      <c r="A206" s="483" t="s">
        <v>404</v>
      </c>
      <c r="B206" s="484"/>
      <c r="C206" s="485"/>
      <c r="D206" s="485"/>
      <c r="E206" s="485"/>
      <c r="F206" s="485"/>
      <c r="G206" s="486"/>
      <c r="H206" s="487">
        <v>2</v>
      </c>
      <c r="I206" s="484"/>
      <c r="J206" s="485"/>
      <c r="K206" s="485"/>
      <c r="L206" s="485"/>
      <c r="M206" s="485"/>
      <c r="N206" s="486"/>
      <c r="O206" s="487"/>
      <c r="P206" s="485"/>
      <c r="Q206" s="485"/>
      <c r="R206" s="485"/>
      <c r="S206" s="485"/>
      <c r="T206" s="485"/>
      <c r="U206" s="486"/>
      <c r="V206" s="486"/>
      <c r="W206" s="484"/>
      <c r="X206" s="485"/>
      <c r="Y206" s="485"/>
      <c r="Z206" s="485"/>
      <c r="AA206" s="485"/>
      <c r="AB206" s="486"/>
      <c r="AC206" s="487"/>
      <c r="AD206" s="486" t="s">
        <v>1206</v>
      </c>
      <c r="AE206" s="458" t="str">
        <f t="shared" si="23"/>
        <v/>
      </c>
      <c r="AF206" t="str">
        <f t="shared" si="24"/>
        <v/>
      </c>
      <c r="AG206" t="str">
        <f t="shared" si="27"/>
        <v/>
      </c>
      <c r="AH206" t="str">
        <f t="shared" si="28"/>
        <v/>
      </c>
      <c r="AI206" s="488"/>
      <c r="AJ206" s="489"/>
      <c r="AK206" s="490" t="s">
        <v>1207</v>
      </c>
    </row>
    <row r="207" spans="1:37" x14ac:dyDescent="0.25">
      <c r="A207" s="483" t="s">
        <v>407</v>
      </c>
      <c r="B207" s="484"/>
      <c r="C207" s="485"/>
      <c r="D207" s="485"/>
      <c r="E207" s="485"/>
      <c r="F207" s="485"/>
      <c r="G207" s="486"/>
      <c r="H207" s="487">
        <v>1</v>
      </c>
      <c r="I207" s="484"/>
      <c r="J207" s="485"/>
      <c r="K207" s="485"/>
      <c r="L207" s="485"/>
      <c r="M207" s="485"/>
      <c r="N207" s="486"/>
      <c r="O207" s="487"/>
      <c r="P207" s="485"/>
      <c r="Q207" s="485"/>
      <c r="R207" s="485"/>
      <c r="S207" s="485"/>
      <c r="T207" s="485"/>
      <c r="U207" s="486"/>
      <c r="V207" s="486"/>
      <c r="W207" s="484"/>
      <c r="X207" s="485"/>
      <c r="Y207" s="485"/>
      <c r="Z207" s="485"/>
      <c r="AA207" s="485"/>
      <c r="AB207" s="486"/>
      <c r="AC207" s="487"/>
      <c r="AD207" s="486" t="s">
        <v>1206</v>
      </c>
      <c r="AE207" s="458" t="str">
        <f t="shared" si="23"/>
        <v/>
      </c>
      <c r="AF207" t="str">
        <f t="shared" si="24"/>
        <v/>
      </c>
      <c r="AG207" t="str">
        <f t="shared" si="27"/>
        <v/>
      </c>
      <c r="AH207" t="str">
        <f t="shared" si="28"/>
        <v/>
      </c>
      <c r="AI207" s="488"/>
      <c r="AJ207" s="489"/>
      <c r="AK207" s="490" t="s">
        <v>1207</v>
      </c>
    </row>
    <row r="208" spans="1:37" x14ac:dyDescent="0.25">
      <c r="A208" s="483" t="s">
        <v>410</v>
      </c>
      <c r="B208" s="484" t="s">
        <v>66</v>
      </c>
      <c r="C208" s="485"/>
      <c r="D208" s="485" t="s">
        <v>66</v>
      </c>
      <c r="E208" s="485"/>
      <c r="F208" s="485"/>
      <c r="G208" s="486"/>
      <c r="H208" s="487">
        <v>2</v>
      </c>
      <c r="I208" s="484"/>
      <c r="J208" s="485"/>
      <c r="K208" s="485"/>
      <c r="L208" s="485"/>
      <c r="M208" s="485"/>
      <c r="N208" s="486"/>
      <c r="O208" s="487"/>
      <c r="P208" s="485"/>
      <c r="Q208" s="485"/>
      <c r="R208" s="485"/>
      <c r="S208" s="485"/>
      <c r="T208" s="485"/>
      <c r="U208" s="486"/>
      <c r="V208" s="486"/>
      <c r="W208" s="484"/>
      <c r="X208" s="485"/>
      <c r="Y208" s="485"/>
      <c r="Z208" s="485"/>
      <c r="AA208" s="485"/>
      <c r="AB208" s="486"/>
      <c r="AC208" s="487"/>
      <c r="AD208" s="486" t="s">
        <v>1206</v>
      </c>
      <c r="AE208" s="458" t="str">
        <f t="shared" si="23"/>
        <v/>
      </c>
      <c r="AF208" t="str">
        <f t="shared" si="24"/>
        <v/>
      </c>
      <c r="AG208" t="str">
        <f t="shared" si="27"/>
        <v/>
      </c>
      <c r="AH208" t="str">
        <f t="shared" si="28"/>
        <v/>
      </c>
      <c r="AI208" s="488"/>
      <c r="AJ208" s="490">
        <v>485</v>
      </c>
      <c r="AK208" s="490" t="s">
        <v>1207</v>
      </c>
    </row>
    <row r="209" spans="1:37" x14ac:dyDescent="0.25">
      <c r="A209" s="483" t="s">
        <v>412</v>
      </c>
      <c r="B209" s="484"/>
      <c r="C209" s="485"/>
      <c r="D209" s="485"/>
      <c r="E209" s="485"/>
      <c r="F209" s="485"/>
      <c r="G209" s="486" t="s">
        <v>1205</v>
      </c>
      <c r="H209" s="487">
        <v>2</v>
      </c>
      <c r="I209" s="484"/>
      <c r="J209" s="485"/>
      <c r="K209" s="485"/>
      <c r="L209" s="485"/>
      <c r="M209" s="485"/>
      <c r="N209" s="486"/>
      <c r="O209" s="487"/>
      <c r="P209" s="485"/>
      <c r="Q209" s="485"/>
      <c r="R209" s="485"/>
      <c r="S209" s="485"/>
      <c r="T209" s="485"/>
      <c r="U209" s="486"/>
      <c r="V209" s="486"/>
      <c r="W209" s="484"/>
      <c r="X209" s="485"/>
      <c r="Y209" s="485"/>
      <c r="Z209" s="485"/>
      <c r="AA209" s="485"/>
      <c r="AB209" s="486"/>
      <c r="AC209" s="487"/>
      <c r="AD209" s="486" t="s">
        <v>1206</v>
      </c>
      <c r="AE209" s="458">
        <f t="shared" si="23"/>
        <v>35</v>
      </c>
      <c r="AF209" t="str">
        <f t="shared" si="24"/>
        <v/>
      </c>
      <c r="AG209" t="str">
        <f t="shared" si="27"/>
        <v/>
      </c>
      <c r="AH209" t="str">
        <f t="shared" si="28"/>
        <v/>
      </c>
      <c r="AI209" s="488"/>
      <c r="AJ209" s="489"/>
      <c r="AK209" s="490" t="s">
        <v>1207</v>
      </c>
    </row>
    <row r="210" spans="1:37" x14ac:dyDescent="0.25">
      <c r="A210" s="483" t="s">
        <v>414</v>
      </c>
      <c r="B210" s="484"/>
      <c r="C210" s="485"/>
      <c r="D210" s="485"/>
      <c r="E210" s="485"/>
      <c r="F210" s="485"/>
      <c r="G210" s="486" t="s">
        <v>1205</v>
      </c>
      <c r="H210" s="487">
        <v>2</v>
      </c>
      <c r="I210" s="484"/>
      <c r="J210" s="485"/>
      <c r="K210" s="485"/>
      <c r="L210" s="485"/>
      <c r="M210" s="485"/>
      <c r="N210" s="486"/>
      <c r="O210" s="487"/>
      <c r="P210" s="485"/>
      <c r="Q210" s="485"/>
      <c r="R210" s="485"/>
      <c r="S210" s="485"/>
      <c r="T210" s="485"/>
      <c r="U210" s="486"/>
      <c r="V210" s="486"/>
      <c r="W210" s="484"/>
      <c r="X210" s="485"/>
      <c r="Y210" s="485"/>
      <c r="Z210" s="485"/>
      <c r="AA210" s="485"/>
      <c r="AB210" s="486"/>
      <c r="AC210" s="487"/>
      <c r="AD210" s="486" t="s">
        <v>1206</v>
      </c>
      <c r="AE210" s="458">
        <f t="shared" si="23"/>
        <v>35</v>
      </c>
      <c r="AF210" t="str">
        <f t="shared" si="24"/>
        <v/>
      </c>
      <c r="AG210" t="str">
        <f t="shared" si="27"/>
        <v/>
      </c>
      <c r="AH210" t="str">
        <f t="shared" si="28"/>
        <v/>
      </c>
      <c r="AI210" s="488"/>
      <c r="AJ210" s="490">
        <v>486</v>
      </c>
      <c r="AK210" s="490" t="s">
        <v>1207</v>
      </c>
    </row>
    <row r="211" spans="1:37" x14ac:dyDescent="0.25">
      <c r="A211" s="483" t="s">
        <v>417</v>
      </c>
      <c r="B211" s="484"/>
      <c r="C211" s="485"/>
      <c r="D211" s="485"/>
      <c r="E211" s="485"/>
      <c r="F211" s="485"/>
      <c r="G211" s="486"/>
      <c r="H211" s="487">
        <v>2</v>
      </c>
      <c r="I211" s="484"/>
      <c r="J211" s="485"/>
      <c r="K211" s="485"/>
      <c r="L211" s="485"/>
      <c r="M211" s="485"/>
      <c r="N211" s="486"/>
      <c r="O211" s="487"/>
      <c r="P211" s="485"/>
      <c r="Q211" s="485"/>
      <c r="R211" s="485"/>
      <c r="S211" s="485"/>
      <c r="T211" s="485"/>
      <c r="U211" s="486"/>
      <c r="V211" s="486"/>
      <c r="W211" s="484"/>
      <c r="X211" s="485"/>
      <c r="Y211" s="485"/>
      <c r="Z211" s="485"/>
      <c r="AA211" s="485"/>
      <c r="AB211" s="486"/>
      <c r="AC211" s="487"/>
      <c r="AD211" s="486" t="s">
        <v>1206</v>
      </c>
      <c r="AE211" s="458" t="str">
        <f t="shared" si="23"/>
        <v/>
      </c>
      <c r="AF211" t="str">
        <f t="shared" si="24"/>
        <v/>
      </c>
      <c r="AG211" t="str">
        <f t="shared" si="27"/>
        <v/>
      </c>
      <c r="AH211" t="str">
        <f t="shared" si="28"/>
        <v/>
      </c>
      <c r="AI211" s="488"/>
      <c r="AJ211" s="490">
        <v>487</v>
      </c>
      <c r="AK211" s="490" t="s">
        <v>1207</v>
      </c>
    </row>
    <row r="212" spans="1:37" x14ac:dyDescent="0.25">
      <c r="A212" s="483" t="s">
        <v>420</v>
      </c>
      <c r="B212" s="484" t="s">
        <v>66</v>
      </c>
      <c r="C212" s="485"/>
      <c r="D212" s="485" t="s">
        <v>66</v>
      </c>
      <c r="E212" s="485"/>
      <c r="F212" s="485"/>
      <c r="G212" s="486" t="s">
        <v>1205</v>
      </c>
      <c r="H212" s="487">
        <v>1</v>
      </c>
      <c r="I212" s="484"/>
      <c r="J212" s="485"/>
      <c r="K212" s="485"/>
      <c r="L212" s="485"/>
      <c r="M212" s="485"/>
      <c r="N212" s="486" t="s">
        <v>1209</v>
      </c>
      <c r="O212" s="487">
        <v>1</v>
      </c>
      <c r="P212" s="485"/>
      <c r="Q212" s="485"/>
      <c r="R212" s="485"/>
      <c r="S212" s="485"/>
      <c r="T212" s="485"/>
      <c r="U212" s="486"/>
      <c r="V212" s="486"/>
      <c r="W212" s="484"/>
      <c r="X212" s="485"/>
      <c r="Y212" s="485"/>
      <c r="Z212" s="485"/>
      <c r="AA212" s="485"/>
      <c r="AB212" s="486"/>
      <c r="AC212" s="487"/>
      <c r="AD212" s="486" t="s">
        <v>1206</v>
      </c>
      <c r="AE212" s="458">
        <f t="shared" ref="AE212:AE245" si="29">IF(G212="S",25,IF(G212="M",35,IF(G212="L",55,"")))</f>
        <v>35</v>
      </c>
      <c r="AF212">
        <f t="shared" ref="AF212:AF245" si="30">IF(N212="S",25,IF(N212="M",35,IF(N212="L",55,"")))</f>
        <v>55</v>
      </c>
      <c r="AG212" t="str">
        <f t="shared" si="27"/>
        <v/>
      </c>
      <c r="AH212" t="str">
        <f t="shared" si="28"/>
        <v/>
      </c>
      <c r="AI212" s="488"/>
      <c r="AJ212" s="490">
        <v>133</v>
      </c>
      <c r="AK212" s="490" t="s">
        <v>1207</v>
      </c>
    </row>
    <row r="213" spans="1:37" x14ac:dyDescent="0.25">
      <c r="A213" s="483" t="s">
        <v>423</v>
      </c>
      <c r="B213" s="484"/>
      <c r="C213" s="485"/>
      <c r="D213" s="485"/>
      <c r="E213" s="485"/>
      <c r="F213" s="485"/>
      <c r="G213" s="486"/>
      <c r="H213" s="487">
        <v>2</v>
      </c>
      <c r="I213" s="484"/>
      <c r="J213" s="485"/>
      <c r="K213" s="485"/>
      <c r="L213" s="485"/>
      <c r="M213" s="485"/>
      <c r="N213" s="486"/>
      <c r="O213" s="487"/>
      <c r="P213" s="485"/>
      <c r="Q213" s="485"/>
      <c r="R213" s="485"/>
      <c r="S213" s="485"/>
      <c r="T213" s="485"/>
      <c r="U213" s="486"/>
      <c r="V213" s="486"/>
      <c r="W213" s="484"/>
      <c r="X213" s="485"/>
      <c r="Y213" s="485"/>
      <c r="Z213" s="485"/>
      <c r="AA213" s="485"/>
      <c r="AB213" s="486"/>
      <c r="AC213" s="487"/>
      <c r="AD213" s="486" t="s">
        <v>1206</v>
      </c>
      <c r="AE213" s="458" t="str">
        <f t="shared" si="29"/>
        <v/>
      </c>
      <c r="AF213" t="str">
        <f t="shared" si="30"/>
        <v/>
      </c>
      <c r="AG213" t="str">
        <f t="shared" si="27"/>
        <v/>
      </c>
      <c r="AH213" t="str">
        <f t="shared" si="28"/>
        <v/>
      </c>
      <c r="AI213" s="488"/>
      <c r="AJ213" s="490">
        <v>488</v>
      </c>
      <c r="AK213" s="490" t="s">
        <v>1207</v>
      </c>
    </row>
    <row r="214" spans="1:37" x14ac:dyDescent="0.25">
      <c r="A214" s="483" t="s">
        <v>426</v>
      </c>
      <c r="B214" s="484"/>
      <c r="C214" s="485"/>
      <c r="D214" s="485"/>
      <c r="E214" s="485"/>
      <c r="F214" s="485"/>
      <c r="G214" s="486" t="s">
        <v>1205</v>
      </c>
      <c r="H214" s="487">
        <v>1</v>
      </c>
      <c r="I214" s="484"/>
      <c r="J214" s="485"/>
      <c r="K214" s="485"/>
      <c r="L214" s="485"/>
      <c r="M214" s="485"/>
      <c r="N214" s="486" t="s">
        <v>1205</v>
      </c>
      <c r="O214" s="487">
        <v>1</v>
      </c>
      <c r="P214" s="485"/>
      <c r="Q214" s="485"/>
      <c r="R214" s="485"/>
      <c r="S214" s="485"/>
      <c r="T214" s="485"/>
      <c r="U214" s="486"/>
      <c r="V214" s="486"/>
      <c r="W214" s="484"/>
      <c r="X214" s="485"/>
      <c r="Y214" s="485"/>
      <c r="Z214" s="485"/>
      <c r="AA214" s="485"/>
      <c r="AB214" s="486"/>
      <c r="AC214" s="487"/>
      <c r="AD214" s="486" t="s">
        <v>1206</v>
      </c>
      <c r="AE214" s="458">
        <f t="shared" si="29"/>
        <v>35</v>
      </c>
      <c r="AF214">
        <f t="shared" si="30"/>
        <v>35</v>
      </c>
      <c r="AG214" t="str">
        <f t="shared" si="27"/>
        <v/>
      </c>
      <c r="AH214" t="str">
        <f t="shared" si="28"/>
        <v/>
      </c>
      <c r="AI214" s="488"/>
      <c r="AJ214" s="490">
        <v>101</v>
      </c>
      <c r="AK214" s="490" t="s">
        <v>1207</v>
      </c>
    </row>
    <row r="215" spans="1:37" x14ac:dyDescent="0.25">
      <c r="A215" s="483" t="s">
        <v>429</v>
      </c>
      <c r="B215" s="484"/>
      <c r="C215" s="485"/>
      <c r="D215" s="485"/>
      <c r="E215" s="485"/>
      <c r="F215" s="485"/>
      <c r="G215" s="486" t="s">
        <v>1205</v>
      </c>
      <c r="H215" s="487">
        <v>1</v>
      </c>
      <c r="I215" s="484"/>
      <c r="J215" s="485"/>
      <c r="K215" s="485"/>
      <c r="L215" s="485"/>
      <c r="M215" s="485"/>
      <c r="N215" s="486" t="s">
        <v>1205</v>
      </c>
      <c r="O215" s="487">
        <v>2</v>
      </c>
      <c r="P215" s="485"/>
      <c r="Q215" s="485"/>
      <c r="R215" s="485"/>
      <c r="S215" s="485"/>
      <c r="T215" s="485"/>
      <c r="U215" s="486"/>
      <c r="V215" s="486"/>
      <c r="W215" s="484"/>
      <c r="X215" s="485"/>
      <c r="Y215" s="485"/>
      <c r="Z215" s="485"/>
      <c r="AA215" s="485"/>
      <c r="AB215" s="486"/>
      <c r="AC215" s="487"/>
      <c r="AD215" s="486" t="s">
        <v>1206</v>
      </c>
      <c r="AE215" s="458">
        <f t="shared" si="29"/>
        <v>35</v>
      </c>
      <c r="AF215">
        <f t="shared" si="30"/>
        <v>35</v>
      </c>
      <c r="AG215" t="str">
        <f t="shared" si="27"/>
        <v/>
      </c>
      <c r="AH215" t="str">
        <f t="shared" si="28"/>
        <v/>
      </c>
      <c r="AI215" s="488"/>
      <c r="AJ215" s="490">
        <v>102</v>
      </c>
      <c r="AK215" s="490" t="s">
        <v>1207</v>
      </c>
    </row>
    <row r="216" spans="1:37" x14ac:dyDescent="0.25">
      <c r="A216" s="483" t="s">
        <v>710</v>
      </c>
      <c r="B216" s="491"/>
      <c r="C216" s="492"/>
      <c r="D216" s="492"/>
      <c r="E216" s="492"/>
      <c r="F216" s="492"/>
      <c r="G216" s="493"/>
      <c r="H216" s="494"/>
      <c r="I216" s="484"/>
      <c r="J216" s="485"/>
      <c r="K216" s="485"/>
      <c r="L216" s="485"/>
      <c r="M216" s="485"/>
      <c r="N216" s="486" t="s">
        <v>1205</v>
      </c>
      <c r="O216" s="487">
        <v>2</v>
      </c>
      <c r="P216" s="485"/>
      <c r="Q216" s="485"/>
      <c r="R216" s="485"/>
      <c r="S216" s="485"/>
      <c r="T216" s="485"/>
      <c r="U216" s="486"/>
      <c r="V216" s="486"/>
      <c r="W216" s="484"/>
      <c r="X216" s="485"/>
      <c r="Y216" s="485"/>
      <c r="Z216" s="485"/>
      <c r="AA216" s="485"/>
      <c r="AB216" s="486"/>
      <c r="AC216" s="487"/>
      <c r="AD216" s="486"/>
      <c r="AE216" s="458" t="str">
        <f t="shared" si="29"/>
        <v/>
      </c>
      <c r="AF216">
        <f t="shared" si="30"/>
        <v>35</v>
      </c>
      <c r="AG216" t="str">
        <f t="shared" si="27"/>
        <v/>
      </c>
      <c r="AH216" t="str">
        <f t="shared" si="28"/>
        <v/>
      </c>
      <c r="AI216" s="488"/>
      <c r="AJ216" s="490"/>
      <c r="AK216" s="490"/>
    </row>
    <row r="217" spans="1:37" x14ac:dyDescent="0.25">
      <c r="A217" s="483" t="s">
        <v>797</v>
      </c>
      <c r="B217" s="491"/>
      <c r="C217" s="492"/>
      <c r="D217" s="492"/>
      <c r="E217" s="492"/>
      <c r="F217" s="492"/>
      <c r="G217" s="493"/>
      <c r="H217" s="494"/>
      <c r="I217" s="484"/>
      <c r="J217" s="485"/>
      <c r="K217" s="485"/>
      <c r="L217" s="485"/>
      <c r="M217" s="485"/>
      <c r="N217" s="486"/>
      <c r="O217" s="487"/>
      <c r="P217" s="485"/>
      <c r="Q217" s="485"/>
      <c r="R217" s="485"/>
      <c r="S217" s="485"/>
      <c r="T217" s="485"/>
      <c r="U217" s="486"/>
      <c r="V217" s="486"/>
      <c r="W217" s="484"/>
      <c r="X217" s="485"/>
      <c r="Y217" s="485"/>
      <c r="Z217" s="485"/>
      <c r="AA217" s="485"/>
      <c r="AB217" s="486"/>
      <c r="AC217" s="487"/>
      <c r="AD217" s="486"/>
      <c r="AE217" s="458" t="str">
        <f t="shared" si="29"/>
        <v/>
      </c>
      <c r="AF217" t="str">
        <f t="shared" si="30"/>
        <v/>
      </c>
      <c r="AG217" t="str">
        <f t="shared" si="27"/>
        <v/>
      </c>
      <c r="AH217" t="str">
        <f t="shared" si="28"/>
        <v/>
      </c>
      <c r="AI217" s="488"/>
      <c r="AJ217" s="490"/>
      <c r="AK217" s="490"/>
    </row>
    <row r="218" spans="1:37" x14ac:dyDescent="0.25">
      <c r="A218" s="483" t="s">
        <v>432</v>
      </c>
      <c r="B218" s="484"/>
      <c r="C218" s="485"/>
      <c r="D218" s="485"/>
      <c r="E218" s="485"/>
      <c r="F218" s="485"/>
      <c r="G218" s="486"/>
      <c r="H218" s="487">
        <v>3</v>
      </c>
      <c r="I218" s="484"/>
      <c r="J218" s="485"/>
      <c r="K218" s="485"/>
      <c r="L218" s="485"/>
      <c r="M218" s="485"/>
      <c r="N218" s="486"/>
      <c r="O218" s="487"/>
      <c r="P218" s="485"/>
      <c r="Q218" s="485"/>
      <c r="R218" s="485"/>
      <c r="S218" s="485"/>
      <c r="T218" s="485"/>
      <c r="U218" s="486"/>
      <c r="V218" s="486"/>
      <c r="W218" s="484"/>
      <c r="X218" s="485"/>
      <c r="Y218" s="485"/>
      <c r="Z218" s="485"/>
      <c r="AA218" s="485"/>
      <c r="AB218" s="486"/>
      <c r="AC218" s="487"/>
      <c r="AD218" s="486" t="s">
        <v>1206</v>
      </c>
      <c r="AE218" s="458" t="str">
        <f t="shared" si="29"/>
        <v/>
      </c>
      <c r="AF218" t="str">
        <f t="shared" si="30"/>
        <v/>
      </c>
      <c r="AG218" t="str">
        <f t="shared" si="27"/>
        <v/>
      </c>
      <c r="AH218" t="str">
        <f t="shared" si="28"/>
        <v/>
      </c>
      <c r="AI218" s="488"/>
      <c r="AJ218" s="489"/>
      <c r="AK218" s="490" t="s">
        <v>1207</v>
      </c>
    </row>
    <row r="219" spans="1:37" x14ac:dyDescent="0.25">
      <c r="A219" s="483" t="s">
        <v>435</v>
      </c>
      <c r="B219" s="484"/>
      <c r="C219" s="485"/>
      <c r="D219" s="485"/>
      <c r="E219" s="485"/>
      <c r="F219" s="485"/>
      <c r="G219" s="486" t="s">
        <v>1209</v>
      </c>
      <c r="H219" s="487">
        <v>1</v>
      </c>
      <c r="I219" s="484"/>
      <c r="J219" s="485"/>
      <c r="K219" s="485"/>
      <c r="L219" s="485"/>
      <c r="M219" s="485"/>
      <c r="N219" s="486" t="s">
        <v>1205</v>
      </c>
      <c r="O219" s="487">
        <v>1</v>
      </c>
      <c r="P219" s="485"/>
      <c r="Q219" s="485"/>
      <c r="R219" s="485"/>
      <c r="S219" s="485"/>
      <c r="T219" s="485"/>
      <c r="U219" s="486"/>
      <c r="V219" s="486"/>
      <c r="W219" s="484"/>
      <c r="X219" s="485"/>
      <c r="Y219" s="485"/>
      <c r="Z219" s="485"/>
      <c r="AA219" s="485"/>
      <c r="AB219" s="486"/>
      <c r="AC219" s="487"/>
      <c r="AD219" s="486" t="s">
        <v>1206</v>
      </c>
      <c r="AE219" s="458">
        <f t="shared" si="29"/>
        <v>55</v>
      </c>
      <c r="AF219">
        <f t="shared" si="30"/>
        <v>35</v>
      </c>
      <c r="AG219" t="str">
        <f t="shared" si="27"/>
        <v/>
      </c>
      <c r="AH219" t="str">
        <f t="shared" si="28"/>
        <v/>
      </c>
      <c r="AI219" s="488"/>
      <c r="AJ219" s="490">
        <v>103</v>
      </c>
      <c r="AK219" s="490" t="s">
        <v>1207</v>
      </c>
    </row>
    <row r="220" spans="1:37" x14ac:dyDescent="0.25">
      <c r="A220" s="483" t="s">
        <v>438</v>
      </c>
      <c r="B220" s="484"/>
      <c r="C220" s="485"/>
      <c r="D220" s="485"/>
      <c r="E220" s="485"/>
      <c r="F220" s="485"/>
      <c r="G220" s="486"/>
      <c r="H220" s="487">
        <v>1</v>
      </c>
      <c r="I220" s="484"/>
      <c r="J220" s="485"/>
      <c r="K220" s="485"/>
      <c r="L220" s="485"/>
      <c r="M220" s="485"/>
      <c r="N220" s="486" t="s">
        <v>1205</v>
      </c>
      <c r="O220" s="487">
        <v>1</v>
      </c>
      <c r="P220" s="485"/>
      <c r="Q220" s="485"/>
      <c r="R220" s="485"/>
      <c r="S220" s="485"/>
      <c r="T220" s="485"/>
      <c r="U220" s="486"/>
      <c r="V220" s="486"/>
      <c r="W220" s="484"/>
      <c r="X220" s="485"/>
      <c r="Y220" s="485"/>
      <c r="Z220" s="485"/>
      <c r="AA220" s="485"/>
      <c r="AB220" s="486"/>
      <c r="AC220" s="487"/>
      <c r="AD220" s="486" t="s">
        <v>1206</v>
      </c>
      <c r="AE220" s="458" t="str">
        <f t="shared" si="29"/>
        <v/>
      </c>
      <c r="AF220">
        <f t="shared" si="30"/>
        <v>35</v>
      </c>
      <c r="AG220" t="str">
        <f t="shared" si="27"/>
        <v/>
      </c>
      <c r="AH220" t="str">
        <f t="shared" si="28"/>
        <v/>
      </c>
      <c r="AI220" s="488"/>
      <c r="AJ220" s="490">
        <v>104</v>
      </c>
      <c r="AK220" s="490" t="s">
        <v>1207</v>
      </c>
    </row>
    <row r="221" spans="1:37" x14ac:dyDescent="0.25">
      <c r="A221" s="483" t="s">
        <v>440</v>
      </c>
      <c r="B221" s="484"/>
      <c r="C221" s="485"/>
      <c r="D221" s="485"/>
      <c r="E221" s="485"/>
      <c r="F221" s="485"/>
      <c r="G221" s="486" t="s">
        <v>1205</v>
      </c>
      <c r="H221" s="487">
        <v>2</v>
      </c>
      <c r="I221" s="484"/>
      <c r="J221" s="485"/>
      <c r="K221" s="485"/>
      <c r="L221" s="485"/>
      <c r="M221" s="485"/>
      <c r="N221" s="486" t="s">
        <v>1205</v>
      </c>
      <c r="O221" s="487">
        <v>2</v>
      </c>
      <c r="P221" s="485"/>
      <c r="Q221" s="485"/>
      <c r="R221" s="485"/>
      <c r="S221" s="485"/>
      <c r="T221" s="485"/>
      <c r="U221" s="486"/>
      <c r="V221" s="486"/>
      <c r="W221" s="484"/>
      <c r="X221" s="485"/>
      <c r="Y221" s="485"/>
      <c r="Z221" s="485"/>
      <c r="AA221" s="485"/>
      <c r="AB221" s="486"/>
      <c r="AC221" s="487"/>
      <c r="AD221" s="486" t="s">
        <v>1206</v>
      </c>
      <c r="AE221" s="458">
        <f t="shared" si="29"/>
        <v>35</v>
      </c>
      <c r="AF221">
        <f t="shared" si="30"/>
        <v>35</v>
      </c>
      <c r="AG221" t="str">
        <f t="shared" si="27"/>
        <v/>
      </c>
      <c r="AH221" t="str">
        <f t="shared" si="28"/>
        <v/>
      </c>
      <c r="AI221" s="488"/>
      <c r="AJ221" s="490">
        <v>105</v>
      </c>
      <c r="AK221" s="490" t="s">
        <v>1207</v>
      </c>
    </row>
    <row r="222" spans="1:37" x14ac:dyDescent="0.25">
      <c r="A222" s="483" t="s">
        <v>443</v>
      </c>
      <c r="B222" s="484"/>
      <c r="C222" s="485"/>
      <c r="D222" s="485"/>
      <c r="E222" s="485"/>
      <c r="F222" s="485"/>
      <c r="G222" s="486" t="s">
        <v>1205</v>
      </c>
      <c r="H222" s="487">
        <v>2</v>
      </c>
      <c r="I222" s="484" t="s">
        <v>66</v>
      </c>
      <c r="J222" s="485" t="s">
        <v>66</v>
      </c>
      <c r="K222" s="485" t="s">
        <v>66</v>
      </c>
      <c r="L222" s="485"/>
      <c r="M222" s="485"/>
      <c r="N222" s="486" t="s">
        <v>1205</v>
      </c>
      <c r="O222" s="487">
        <v>1</v>
      </c>
      <c r="P222" s="485"/>
      <c r="Q222" s="485"/>
      <c r="R222" s="485"/>
      <c r="S222" s="485"/>
      <c r="T222" s="485"/>
      <c r="U222" s="486"/>
      <c r="V222" s="486"/>
      <c r="W222" s="484"/>
      <c r="X222" s="485"/>
      <c r="Y222" s="485"/>
      <c r="Z222" s="485"/>
      <c r="AA222" s="485"/>
      <c r="AB222" s="486"/>
      <c r="AC222" s="487"/>
      <c r="AD222" s="486" t="s">
        <v>1206</v>
      </c>
      <c r="AE222" s="458">
        <f t="shared" si="29"/>
        <v>35</v>
      </c>
      <c r="AF222">
        <f t="shared" si="30"/>
        <v>35</v>
      </c>
      <c r="AG222" t="str">
        <f t="shared" si="27"/>
        <v/>
      </c>
      <c r="AH222" t="str">
        <f t="shared" si="28"/>
        <v/>
      </c>
      <c r="AI222" s="488"/>
      <c r="AJ222" s="490">
        <v>135</v>
      </c>
      <c r="AK222" s="490" t="s">
        <v>1207</v>
      </c>
    </row>
    <row r="223" spans="1:37" x14ac:dyDescent="0.25">
      <c r="A223" s="483" t="s">
        <v>446</v>
      </c>
      <c r="B223" s="484"/>
      <c r="C223" s="485"/>
      <c r="D223" s="485"/>
      <c r="E223" s="485"/>
      <c r="F223" s="485"/>
      <c r="G223" s="486" t="s">
        <v>1205</v>
      </c>
      <c r="H223" s="487">
        <v>2</v>
      </c>
      <c r="I223" s="484"/>
      <c r="J223" s="485"/>
      <c r="K223" s="485"/>
      <c r="L223" s="485"/>
      <c r="M223" s="485"/>
      <c r="N223" s="486" t="s">
        <v>1208</v>
      </c>
      <c r="O223" s="487">
        <v>1</v>
      </c>
      <c r="P223" s="485"/>
      <c r="Q223" s="485"/>
      <c r="R223" s="485"/>
      <c r="S223" s="485"/>
      <c r="T223" s="485"/>
      <c r="U223" s="486"/>
      <c r="V223" s="486"/>
      <c r="W223" s="484"/>
      <c r="X223" s="485"/>
      <c r="Y223" s="485"/>
      <c r="Z223" s="485"/>
      <c r="AA223" s="485"/>
      <c r="AB223" s="486"/>
      <c r="AC223" s="487"/>
      <c r="AD223" s="486"/>
      <c r="AE223" s="458">
        <f t="shared" si="29"/>
        <v>35</v>
      </c>
      <c r="AF223">
        <f t="shared" si="30"/>
        <v>35</v>
      </c>
      <c r="AG223" t="str">
        <f t="shared" si="27"/>
        <v/>
      </c>
      <c r="AH223" t="str">
        <f t="shared" si="28"/>
        <v/>
      </c>
      <c r="AI223" s="488"/>
      <c r="AJ223" s="490"/>
      <c r="AK223" s="490"/>
    </row>
    <row r="224" spans="1:37" x14ac:dyDescent="0.25">
      <c r="A224" s="483" t="s">
        <v>449</v>
      </c>
      <c r="B224" s="484"/>
      <c r="C224" s="485"/>
      <c r="D224" s="485"/>
      <c r="E224" s="485"/>
      <c r="F224" s="485"/>
      <c r="G224" s="486" t="s">
        <v>1205</v>
      </c>
      <c r="H224" s="487">
        <v>2</v>
      </c>
      <c r="I224" s="484" t="s">
        <v>66</v>
      </c>
      <c r="J224" s="485" t="s">
        <v>66</v>
      </c>
      <c r="K224" s="485" t="s">
        <v>66</v>
      </c>
      <c r="L224" s="485"/>
      <c r="M224" s="485"/>
      <c r="N224" s="486" t="s">
        <v>1205</v>
      </c>
      <c r="O224" s="487">
        <v>1</v>
      </c>
      <c r="P224" s="485"/>
      <c r="Q224" s="485"/>
      <c r="R224" s="485"/>
      <c r="S224" s="485"/>
      <c r="T224" s="485"/>
      <c r="U224" s="486"/>
      <c r="V224" s="486"/>
      <c r="W224" s="484"/>
      <c r="X224" s="485"/>
      <c r="Y224" s="485"/>
      <c r="Z224" s="485"/>
      <c r="AA224" s="485"/>
      <c r="AB224" s="486"/>
      <c r="AC224" s="487"/>
      <c r="AD224" s="486" t="s">
        <v>1206</v>
      </c>
      <c r="AE224" s="458">
        <f t="shared" si="29"/>
        <v>35</v>
      </c>
      <c r="AF224">
        <f t="shared" si="30"/>
        <v>35</v>
      </c>
      <c r="AG224" t="str">
        <f t="shared" si="27"/>
        <v/>
      </c>
      <c r="AH224" t="str">
        <f t="shared" si="28"/>
        <v/>
      </c>
      <c r="AI224" s="488">
        <v>200</v>
      </c>
      <c r="AJ224" s="490">
        <v>489</v>
      </c>
      <c r="AK224" s="490" t="s">
        <v>1207</v>
      </c>
    </row>
    <row r="225" spans="1:37" x14ac:dyDescent="0.25">
      <c r="A225" s="483" t="s">
        <v>452</v>
      </c>
      <c r="B225" s="484"/>
      <c r="C225" s="485"/>
      <c r="D225" s="485"/>
      <c r="E225" s="485"/>
      <c r="F225" s="485"/>
      <c r="G225" s="486" t="s">
        <v>1205</v>
      </c>
      <c r="H225" s="487">
        <v>2</v>
      </c>
      <c r="I225" s="484" t="s">
        <v>66</v>
      </c>
      <c r="J225" s="485" t="s">
        <v>66</v>
      </c>
      <c r="K225" s="485" t="s">
        <v>66</v>
      </c>
      <c r="L225" s="485"/>
      <c r="M225" s="485"/>
      <c r="N225" s="486" t="s">
        <v>1208</v>
      </c>
      <c r="O225" s="487">
        <v>1</v>
      </c>
      <c r="P225" s="485"/>
      <c r="Q225" s="485"/>
      <c r="R225" s="485"/>
      <c r="S225" s="485"/>
      <c r="T225" s="485"/>
      <c r="U225" s="486"/>
      <c r="V225" s="486"/>
      <c r="W225" s="484"/>
      <c r="X225" s="485"/>
      <c r="Y225" s="485"/>
      <c r="Z225" s="485"/>
      <c r="AA225" s="485"/>
      <c r="AB225" s="486"/>
      <c r="AC225" s="487"/>
      <c r="AD225" s="486" t="s">
        <v>1206</v>
      </c>
      <c r="AE225" s="458">
        <f t="shared" si="29"/>
        <v>35</v>
      </c>
      <c r="AF225">
        <f t="shared" si="30"/>
        <v>35</v>
      </c>
      <c r="AG225" t="str">
        <f t="shared" ref="AG225:AG245" si="31">IF(U225="S",30,IF(U225="M",45,IF(U225="L",60,"")))</f>
        <v/>
      </c>
      <c r="AH225" t="str">
        <f t="shared" ref="AH225:AH245" si="32">IF(AB225="S",30,IF(AB225="M",45,IF(AB225="L",60,"")))</f>
        <v/>
      </c>
      <c r="AI225" s="488">
        <v>200</v>
      </c>
      <c r="AJ225" s="490">
        <v>490</v>
      </c>
      <c r="AK225" s="490" t="s">
        <v>1207</v>
      </c>
    </row>
    <row r="226" spans="1:37" x14ac:dyDescent="0.25">
      <c r="A226" s="483" t="s">
        <v>455</v>
      </c>
      <c r="B226" s="484"/>
      <c r="C226" s="485"/>
      <c r="D226" s="485"/>
      <c r="E226" s="485"/>
      <c r="F226" s="485"/>
      <c r="G226" s="486"/>
      <c r="H226" s="487">
        <v>2</v>
      </c>
      <c r="I226" s="484"/>
      <c r="J226" s="485"/>
      <c r="K226" s="485"/>
      <c r="L226" s="485"/>
      <c r="M226" s="485"/>
      <c r="N226" s="486" t="s">
        <v>1209</v>
      </c>
      <c r="O226" s="487"/>
      <c r="P226" s="485"/>
      <c r="Q226" s="485"/>
      <c r="R226" s="485"/>
      <c r="S226" s="485"/>
      <c r="T226" s="485"/>
      <c r="U226" s="486"/>
      <c r="V226" s="486"/>
      <c r="W226" s="484"/>
      <c r="X226" s="485"/>
      <c r="Y226" s="485"/>
      <c r="Z226" s="485"/>
      <c r="AA226" s="485"/>
      <c r="AB226" s="486"/>
      <c r="AC226" s="487"/>
      <c r="AD226" s="486" t="s">
        <v>1206</v>
      </c>
      <c r="AE226" s="458" t="str">
        <f t="shared" si="29"/>
        <v/>
      </c>
      <c r="AF226">
        <f t="shared" si="30"/>
        <v>55</v>
      </c>
      <c r="AG226" t="str">
        <f t="shared" si="31"/>
        <v/>
      </c>
      <c r="AH226" t="str">
        <f t="shared" si="32"/>
        <v/>
      </c>
      <c r="AI226" s="488"/>
      <c r="AJ226" s="490">
        <v>106</v>
      </c>
      <c r="AK226" s="490" t="s">
        <v>1207</v>
      </c>
    </row>
    <row r="227" spans="1:37" x14ac:dyDescent="0.25">
      <c r="A227" s="483" t="s">
        <v>458</v>
      </c>
      <c r="B227" s="484" t="s">
        <v>66</v>
      </c>
      <c r="C227" s="485"/>
      <c r="D227" s="485" t="s">
        <v>66</v>
      </c>
      <c r="E227" s="485"/>
      <c r="F227" s="485"/>
      <c r="G227" s="486" t="s">
        <v>1209</v>
      </c>
      <c r="H227" s="487">
        <v>3</v>
      </c>
      <c r="I227" s="484" t="s">
        <v>66</v>
      </c>
      <c r="J227" s="485"/>
      <c r="K227" s="485" t="s">
        <v>66</v>
      </c>
      <c r="L227" s="485" t="s">
        <v>66</v>
      </c>
      <c r="M227" s="485"/>
      <c r="N227" s="486" t="s">
        <v>1209</v>
      </c>
      <c r="O227" s="487">
        <v>2</v>
      </c>
      <c r="P227" s="485"/>
      <c r="Q227" s="485"/>
      <c r="R227" s="485"/>
      <c r="S227" s="485"/>
      <c r="T227" s="485"/>
      <c r="U227" s="486"/>
      <c r="V227" s="486"/>
      <c r="W227" s="484"/>
      <c r="X227" s="485"/>
      <c r="Y227" s="485"/>
      <c r="Z227" s="485"/>
      <c r="AA227" s="485"/>
      <c r="AB227" s="486"/>
      <c r="AC227" s="487"/>
      <c r="AD227" s="486" t="s">
        <v>1206</v>
      </c>
      <c r="AE227" s="458">
        <f t="shared" si="29"/>
        <v>55</v>
      </c>
      <c r="AF227">
        <f t="shared" si="30"/>
        <v>55</v>
      </c>
      <c r="AG227" t="str">
        <f t="shared" si="31"/>
        <v/>
      </c>
      <c r="AH227" t="str">
        <f t="shared" si="32"/>
        <v/>
      </c>
      <c r="AI227" s="488">
        <v>300</v>
      </c>
      <c r="AJ227" s="490">
        <v>107</v>
      </c>
      <c r="AK227" s="490" t="s">
        <v>1207</v>
      </c>
    </row>
    <row r="228" spans="1:37" x14ac:dyDescent="0.25">
      <c r="A228" s="483" t="s">
        <v>1470</v>
      </c>
      <c r="B228" s="484"/>
      <c r="C228" s="485"/>
      <c r="D228" s="485"/>
      <c r="E228" s="485"/>
      <c r="F228" s="485"/>
      <c r="G228" s="486" t="s">
        <v>1209</v>
      </c>
      <c r="H228" s="487">
        <v>1</v>
      </c>
      <c r="I228" s="484" t="s">
        <v>66</v>
      </c>
      <c r="J228" s="485"/>
      <c r="K228" s="485" t="s">
        <v>66</v>
      </c>
      <c r="L228" s="485"/>
      <c r="M228" s="485"/>
      <c r="N228" s="486" t="s">
        <v>1209</v>
      </c>
      <c r="O228" s="487">
        <v>1</v>
      </c>
      <c r="P228" s="485"/>
      <c r="Q228" s="485"/>
      <c r="R228" s="485"/>
      <c r="S228" s="485"/>
      <c r="T228" s="485"/>
      <c r="U228" s="486" t="s">
        <v>1205</v>
      </c>
      <c r="V228" s="486">
        <v>1</v>
      </c>
      <c r="W228" s="484"/>
      <c r="X228" s="485"/>
      <c r="Y228" s="485"/>
      <c r="Z228" s="485"/>
      <c r="AA228" s="485"/>
      <c r="AB228" s="486"/>
      <c r="AC228" s="487"/>
      <c r="AD228" s="486" t="s">
        <v>1206</v>
      </c>
      <c r="AE228" s="458">
        <f t="shared" si="29"/>
        <v>55</v>
      </c>
      <c r="AF228">
        <f t="shared" si="30"/>
        <v>55</v>
      </c>
      <c r="AG228">
        <f t="shared" si="31"/>
        <v>45</v>
      </c>
      <c r="AH228" t="str">
        <f t="shared" si="32"/>
        <v/>
      </c>
      <c r="AI228" s="488"/>
      <c r="AJ228" s="490">
        <v>108</v>
      </c>
      <c r="AK228" s="490" t="s">
        <v>1207</v>
      </c>
    </row>
    <row r="229" spans="1:37" x14ac:dyDescent="0.25">
      <c r="A229" s="483" t="s">
        <v>464</v>
      </c>
      <c r="B229" s="484"/>
      <c r="C229" s="485"/>
      <c r="D229" s="485"/>
      <c r="E229" s="485"/>
      <c r="F229" s="485"/>
      <c r="G229" s="486"/>
      <c r="H229" s="487">
        <v>2</v>
      </c>
      <c r="I229" s="484"/>
      <c r="J229" s="485"/>
      <c r="K229" s="485"/>
      <c r="L229" s="485"/>
      <c r="M229" s="485"/>
      <c r="N229" s="486"/>
      <c r="O229" s="487"/>
      <c r="P229" s="485"/>
      <c r="Q229" s="485"/>
      <c r="R229" s="485"/>
      <c r="S229" s="485"/>
      <c r="T229" s="485"/>
      <c r="U229" s="486"/>
      <c r="V229" s="486"/>
      <c r="W229" s="484"/>
      <c r="X229" s="485"/>
      <c r="Y229" s="485"/>
      <c r="Z229" s="485"/>
      <c r="AA229" s="485"/>
      <c r="AB229" s="486"/>
      <c r="AC229" s="487"/>
      <c r="AD229" s="486" t="s">
        <v>1206</v>
      </c>
      <c r="AE229" s="458" t="str">
        <f t="shared" si="29"/>
        <v/>
      </c>
      <c r="AF229" t="str">
        <f t="shared" si="30"/>
        <v/>
      </c>
      <c r="AG229" t="str">
        <f t="shared" si="31"/>
        <v/>
      </c>
      <c r="AH229" t="str">
        <f t="shared" si="32"/>
        <v/>
      </c>
      <c r="AI229" s="488"/>
      <c r="AJ229" s="489"/>
      <c r="AK229" s="490" t="s">
        <v>1207</v>
      </c>
    </row>
    <row r="230" spans="1:37" x14ac:dyDescent="0.25">
      <c r="A230" s="483" t="s">
        <v>1406</v>
      </c>
      <c r="B230" s="484"/>
      <c r="C230" s="485"/>
      <c r="D230" s="485"/>
      <c r="E230" s="485"/>
      <c r="F230" s="485"/>
      <c r="G230" s="486" t="s">
        <v>1212</v>
      </c>
      <c r="H230" s="487">
        <v>2</v>
      </c>
      <c r="I230" s="484"/>
      <c r="J230" s="485"/>
      <c r="K230" s="485"/>
      <c r="L230" s="485"/>
      <c r="M230" s="485"/>
      <c r="N230" s="486"/>
      <c r="O230" s="487"/>
      <c r="P230" s="485"/>
      <c r="Q230" s="485"/>
      <c r="R230" s="485"/>
      <c r="S230" s="485"/>
      <c r="T230" s="485"/>
      <c r="U230" s="486"/>
      <c r="V230" s="486"/>
      <c r="W230" s="484"/>
      <c r="X230" s="485"/>
      <c r="Y230" s="485"/>
      <c r="Z230" s="485"/>
      <c r="AA230" s="485"/>
      <c r="AB230" s="486"/>
      <c r="AC230" s="487"/>
      <c r="AD230" s="486" t="s">
        <v>1206</v>
      </c>
      <c r="AE230" s="458">
        <f>IF(G230="S",25,IF(G230="M",35,IF(G230="L",55,"")))</f>
        <v>25</v>
      </c>
      <c r="AF230" t="str">
        <f>IF(N230="S",25,IF(N230="M",35,IF(N230="L",55,"")))</f>
        <v/>
      </c>
      <c r="AG230" t="str">
        <f>IF(U230="S",30,IF(U230="M",45,IF(U230="L",60,"")))</f>
        <v/>
      </c>
      <c r="AH230" t="str">
        <f>IF(AB230="S",30,IF(AB230="M",45,IF(AB230="L",60,"")))</f>
        <v/>
      </c>
      <c r="AI230" s="488"/>
      <c r="AJ230" s="490">
        <v>479</v>
      </c>
      <c r="AK230" s="490" t="s">
        <v>1207</v>
      </c>
    </row>
    <row r="231" spans="1:37" x14ac:dyDescent="0.25">
      <c r="A231" s="483" t="s">
        <v>467</v>
      </c>
      <c r="B231" s="484"/>
      <c r="C231" s="485"/>
      <c r="D231" s="485"/>
      <c r="E231" s="485"/>
      <c r="F231" s="485"/>
      <c r="G231" s="486" t="s">
        <v>1205</v>
      </c>
      <c r="H231" s="487">
        <v>2</v>
      </c>
      <c r="I231" s="484"/>
      <c r="J231" s="485"/>
      <c r="K231" s="485"/>
      <c r="L231" s="485"/>
      <c r="M231" s="485"/>
      <c r="N231" s="486"/>
      <c r="O231" s="487"/>
      <c r="P231" s="485"/>
      <c r="Q231" s="485"/>
      <c r="R231" s="485"/>
      <c r="S231" s="485"/>
      <c r="T231" s="485"/>
      <c r="U231" s="486"/>
      <c r="V231" s="486"/>
      <c r="W231" s="484"/>
      <c r="X231" s="485"/>
      <c r="Y231" s="485"/>
      <c r="Z231" s="485"/>
      <c r="AA231" s="485"/>
      <c r="AB231" s="486"/>
      <c r="AC231" s="487"/>
      <c r="AD231" s="486" t="s">
        <v>1206</v>
      </c>
      <c r="AE231" s="458">
        <f t="shared" si="29"/>
        <v>35</v>
      </c>
      <c r="AF231" t="str">
        <f t="shared" si="30"/>
        <v/>
      </c>
      <c r="AG231" t="str">
        <f t="shared" si="31"/>
        <v/>
      </c>
      <c r="AH231" t="str">
        <f t="shared" si="32"/>
        <v/>
      </c>
      <c r="AI231" s="488"/>
      <c r="AJ231" s="490">
        <v>479</v>
      </c>
      <c r="AK231" s="490" t="s">
        <v>1207</v>
      </c>
    </row>
    <row r="232" spans="1:37" x14ac:dyDescent="0.25">
      <c r="A232" s="483" t="s">
        <v>470</v>
      </c>
      <c r="B232" s="484"/>
      <c r="C232" s="485"/>
      <c r="D232" s="485"/>
      <c r="E232" s="485"/>
      <c r="F232" s="485"/>
      <c r="G232" s="486" t="s">
        <v>1209</v>
      </c>
      <c r="H232" s="487">
        <v>3</v>
      </c>
      <c r="I232" s="484"/>
      <c r="J232" s="485"/>
      <c r="K232" s="485" t="s">
        <v>66</v>
      </c>
      <c r="L232" s="485"/>
      <c r="M232" s="485"/>
      <c r="N232" s="486" t="s">
        <v>1211</v>
      </c>
      <c r="O232" s="487">
        <v>2</v>
      </c>
      <c r="P232" s="485"/>
      <c r="Q232" s="485"/>
      <c r="R232" s="485"/>
      <c r="S232" s="485"/>
      <c r="T232" s="485"/>
      <c r="U232" s="486"/>
      <c r="V232" s="486"/>
      <c r="W232" s="484"/>
      <c r="X232" s="485"/>
      <c r="Y232" s="485"/>
      <c r="Z232" s="485"/>
      <c r="AA232" s="485"/>
      <c r="AB232" s="486"/>
      <c r="AC232" s="487"/>
      <c r="AD232" s="486" t="s">
        <v>1206</v>
      </c>
      <c r="AE232" s="458">
        <f t="shared" si="29"/>
        <v>55</v>
      </c>
      <c r="AF232">
        <f t="shared" si="30"/>
        <v>55</v>
      </c>
      <c r="AG232" t="str">
        <f t="shared" si="31"/>
        <v/>
      </c>
      <c r="AH232" t="str">
        <f t="shared" si="32"/>
        <v/>
      </c>
      <c r="AI232" s="488">
        <v>1000</v>
      </c>
      <c r="AJ232" s="490">
        <v>109</v>
      </c>
      <c r="AK232" s="490" t="s">
        <v>1207</v>
      </c>
    </row>
    <row r="233" spans="1:37" x14ac:dyDescent="0.25">
      <c r="A233" s="483" t="s">
        <v>473</v>
      </c>
      <c r="B233" s="484"/>
      <c r="C233" s="485"/>
      <c r="D233" s="485"/>
      <c r="E233" s="485"/>
      <c r="F233" s="485"/>
      <c r="G233" s="486"/>
      <c r="H233" s="487">
        <v>2</v>
      </c>
      <c r="I233" s="484"/>
      <c r="J233" s="485"/>
      <c r="K233" s="485"/>
      <c r="L233" s="485"/>
      <c r="M233" s="485"/>
      <c r="N233" s="486"/>
      <c r="O233" s="487"/>
      <c r="P233" s="485"/>
      <c r="Q233" s="485"/>
      <c r="R233" s="485"/>
      <c r="S233" s="485"/>
      <c r="T233" s="485"/>
      <c r="U233" s="486"/>
      <c r="V233" s="486"/>
      <c r="W233" s="484"/>
      <c r="X233" s="485"/>
      <c r="Y233" s="485"/>
      <c r="Z233" s="485"/>
      <c r="AA233" s="485"/>
      <c r="AB233" s="486"/>
      <c r="AC233" s="487"/>
      <c r="AD233" s="486" t="s">
        <v>1206</v>
      </c>
      <c r="AE233" s="458" t="str">
        <f t="shared" si="29"/>
        <v/>
      </c>
      <c r="AF233" t="str">
        <f t="shared" si="30"/>
        <v/>
      </c>
      <c r="AG233" t="str">
        <f t="shared" si="31"/>
        <v/>
      </c>
      <c r="AH233" t="str">
        <f t="shared" si="32"/>
        <v/>
      </c>
      <c r="AI233" s="488"/>
      <c r="AJ233" s="489"/>
      <c r="AK233" s="490" t="s">
        <v>1207</v>
      </c>
    </row>
    <row r="234" spans="1:37" x14ac:dyDescent="0.25">
      <c r="A234" s="483" t="s">
        <v>476</v>
      </c>
      <c r="B234" s="484"/>
      <c r="C234" s="485"/>
      <c r="D234" s="485"/>
      <c r="E234" s="485"/>
      <c r="F234" s="485"/>
      <c r="G234" s="486"/>
      <c r="H234" s="487">
        <v>1</v>
      </c>
      <c r="I234" s="484"/>
      <c r="J234" s="485"/>
      <c r="K234" s="485"/>
      <c r="L234" s="485"/>
      <c r="M234" s="485"/>
      <c r="N234" s="486" t="s">
        <v>1209</v>
      </c>
      <c r="O234" s="487">
        <v>1</v>
      </c>
      <c r="P234" s="485"/>
      <c r="Q234" s="485"/>
      <c r="R234" s="485"/>
      <c r="S234" s="485"/>
      <c r="T234" s="485"/>
      <c r="U234" s="486"/>
      <c r="V234" s="486"/>
      <c r="W234" s="484"/>
      <c r="X234" s="485"/>
      <c r="Y234" s="485"/>
      <c r="Z234" s="485"/>
      <c r="AA234" s="485"/>
      <c r="AB234" s="486"/>
      <c r="AC234" s="487"/>
      <c r="AD234" s="486" t="s">
        <v>1206</v>
      </c>
      <c r="AE234" s="458" t="str">
        <f t="shared" si="29"/>
        <v/>
      </c>
      <c r="AF234">
        <f t="shared" si="30"/>
        <v>55</v>
      </c>
      <c r="AG234" t="str">
        <f t="shared" si="31"/>
        <v/>
      </c>
      <c r="AH234" t="str">
        <f t="shared" si="32"/>
        <v/>
      </c>
      <c r="AI234" s="488"/>
      <c r="AJ234" s="490">
        <v>110</v>
      </c>
      <c r="AK234" s="490" t="s">
        <v>1207</v>
      </c>
    </row>
    <row r="235" spans="1:37" x14ac:dyDescent="0.25">
      <c r="A235" s="483" t="s">
        <v>479</v>
      </c>
      <c r="B235" s="484" t="s">
        <v>66</v>
      </c>
      <c r="C235" s="485"/>
      <c r="D235" s="485" t="s">
        <v>66</v>
      </c>
      <c r="E235" s="485"/>
      <c r="F235" s="485" t="s">
        <v>66</v>
      </c>
      <c r="G235" s="486" t="s">
        <v>1205</v>
      </c>
      <c r="H235" s="487">
        <v>2</v>
      </c>
      <c r="I235" s="484"/>
      <c r="J235" s="485"/>
      <c r="K235" s="485"/>
      <c r="L235" s="485"/>
      <c r="M235" s="485"/>
      <c r="N235" s="486" t="s">
        <v>1208</v>
      </c>
      <c r="O235" s="487">
        <v>2</v>
      </c>
      <c r="P235" s="485"/>
      <c r="Q235" s="485"/>
      <c r="R235" s="485"/>
      <c r="S235" s="485"/>
      <c r="T235" s="485"/>
      <c r="U235" s="486"/>
      <c r="V235" s="486"/>
      <c r="W235" s="484"/>
      <c r="X235" s="485"/>
      <c r="Y235" s="485"/>
      <c r="Z235" s="485"/>
      <c r="AA235" s="485"/>
      <c r="AB235" s="486"/>
      <c r="AC235" s="487"/>
      <c r="AD235" s="486" t="s">
        <v>1206</v>
      </c>
      <c r="AE235" s="458">
        <f t="shared" si="29"/>
        <v>35</v>
      </c>
      <c r="AF235">
        <f t="shared" si="30"/>
        <v>35</v>
      </c>
      <c r="AG235" t="str">
        <f t="shared" si="31"/>
        <v/>
      </c>
      <c r="AH235" t="str">
        <f t="shared" si="32"/>
        <v/>
      </c>
      <c r="AI235" s="488"/>
      <c r="AJ235" s="490">
        <v>468</v>
      </c>
      <c r="AK235" s="490" t="s">
        <v>1207</v>
      </c>
    </row>
    <row r="236" spans="1:37" x14ac:dyDescent="0.25">
      <c r="A236" s="483" t="s">
        <v>482</v>
      </c>
      <c r="B236" s="484"/>
      <c r="C236" s="485"/>
      <c r="D236" s="485"/>
      <c r="E236" s="485"/>
      <c r="F236" s="485"/>
      <c r="G236" s="486" t="s">
        <v>1209</v>
      </c>
      <c r="H236" s="487">
        <v>1</v>
      </c>
      <c r="I236" s="484"/>
      <c r="J236" s="485"/>
      <c r="K236" s="485"/>
      <c r="L236" s="485"/>
      <c r="M236" s="485"/>
      <c r="N236" s="486" t="s">
        <v>1209</v>
      </c>
      <c r="O236" s="487">
        <v>1</v>
      </c>
      <c r="P236" s="485"/>
      <c r="Q236" s="485"/>
      <c r="R236" s="485"/>
      <c r="S236" s="485"/>
      <c r="T236" s="485"/>
      <c r="U236" s="486" t="s">
        <v>1209</v>
      </c>
      <c r="V236" s="486">
        <v>2</v>
      </c>
      <c r="W236" s="484"/>
      <c r="X236" s="485"/>
      <c r="Y236" s="485"/>
      <c r="Z236" s="485"/>
      <c r="AA236" s="485"/>
      <c r="AB236" s="486"/>
      <c r="AC236" s="487"/>
      <c r="AD236" s="486" t="s">
        <v>1206</v>
      </c>
      <c r="AE236" s="458">
        <f t="shared" si="29"/>
        <v>55</v>
      </c>
      <c r="AF236">
        <f t="shared" si="30"/>
        <v>55</v>
      </c>
      <c r="AG236">
        <f t="shared" si="31"/>
        <v>60</v>
      </c>
      <c r="AH236" t="str">
        <f t="shared" si="32"/>
        <v/>
      </c>
      <c r="AI236" s="488"/>
      <c r="AJ236" s="490">
        <v>111</v>
      </c>
      <c r="AK236" s="490" t="s">
        <v>1207</v>
      </c>
    </row>
    <row r="237" spans="1:37" x14ac:dyDescent="0.25">
      <c r="A237" s="483" t="s">
        <v>486</v>
      </c>
      <c r="B237" s="484"/>
      <c r="C237" s="485"/>
      <c r="D237" s="485"/>
      <c r="E237" s="485"/>
      <c r="F237" s="485"/>
      <c r="G237" s="486"/>
      <c r="H237" s="487">
        <v>3</v>
      </c>
      <c r="I237" s="484"/>
      <c r="J237" s="485"/>
      <c r="K237" s="485"/>
      <c r="L237" s="485"/>
      <c r="M237" s="485"/>
      <c r="N237" s="486" t="s">
        <v>1205</v>
      </c>
      <c r="O237" s="487">
        <v>2</v>
      </c>
      <c r="P237" s="485"/>
      <c r="Q237" s="485"/>
      <c r="R237" s="485"/>
      <c r="S237" s="485"/>
      <c r="T237" s="485"/>
      <c r="U237" s="486"/>
      <c r="V237" s="486"/>
      <c r="W237" s="484"/>
      <c r="X237" s="485"/>
      <c r="Y237" s="485"/>
      <c r="Z237" s="485"/>
      <c r="AA237" s="485"/>
      <c r="AB237" s="486"/>
      <c r="AC237" s="487"/>
      <c r="AD237" s="486" t="s">
        <v>1206</v>
      </c>
      <c r="AE237" s="458" t="str">
        <f t="shared" si="29"/>
        <v/>
      </c>
      <c r="AF237">
        <f t="shared" si="30"/>
        <v>35</v>
      </c>
      <c r="AG237" t="str">
        <f t="shared" si="31"/>
        <v/>
      </c>
      <c r="AH237" t="str">
        <f t="shared" si="32"/>
        <v/>
      </c>
      <c r="AI237" s="488"/>
      <c r="AJ237" s="490"/>
      <c r="AK237" s="490"/>
    </row>
    <row r="238" spans="1:37" x14ac:dyDescent="0.25">
      <c r="A238" s="483" t="s">
        <v>487</v>
      </c>
      <c r="B238" s="484"/>
      <c r="C238" s="485"/>
      <c r="D238" s="485" t="s">
        <v>66</v>
      </c>
      <c r="E238" s="485"/>
      <c r="F238" s="485"/>
      <c r="G238" s="486" t="s">
        <v>1209</v>
      </c>
      <c r="H238" s="487">
        <v>2</v>
      </c>
      <c r="I238" s="484"/>
      <c r="J238" s="485"/>
      <c r="K238" s="485"/>
      <c r="L238" s="485"/>
      <c r="M238" s="485"/>
      <c r="N238" s="486" t="s">
        <v>1209</v>
      </c>
      <c r="O238" s="487">
        <v>2</v>
      </c>
      <c r="P238" s="485"/>
      <c r="Q238" s="485"/>
      <c r="R238" s="485"/>
      <c r="S238" s="485"/>
      <c r="T238" s="485"/>
      <c r="U238" s="486"/>
      <c r="V238" s="486"/>
      <c r="W238" s="484"/>
      <c r="X238" s="485"/>
      <c r="Y238" s="485"/>
      <c r="Z238" s="485"/>
      <c r="AA238" s="485"/>
      <c r="AB238" s="486"/>
      <c r="AC238" s="487"/>
      <c r="AD238" s="486" t="s">
        <v>1206</v>
      </c>
      <c r="AE238" s="458">
        <f t="shared" si="29"/>
        <v>55</v>
      </c>
      <c r="AF238">
        <f t="shared" si="30"/>
        <v>55</v>
      </c>
      <c r="AG238" t="str">
        <f t="shared" si="31"/>
        <v/>
      </c>
      <c r="AH238" t="str">
        <f t="shared" si="32"/>
        <v/>
      </c>
      <c r="AI238" s="488">
        <v>400</v>
      </c>
      <c r="AJ238" s="490">
        <v>112</v>
      </c>
      <c r="AK238" s="490" t="s">
        <v>1207</v>
      </c>
    </row>
    <row r="239" spans="1:37" x14ac:dyDescent="0.25">
      <c r="A239" s="483" t="s">
        <v>490</v>
      </c>
      <c r="B239" s="484"/>
      <c r="C239" s="485"/>
      <c r="D239" s="485"/>
      <c r="E239" s="485"/>
      <c r="F239" s="485"/>
      <c r="G239" s="486" t="s">
        <v>1209</v>
      </c>
      <c r="H239" s="487">
        <v>1</v>
      </c>
      <c r="I239" s="484"/>
      <c r="J239" s="485"/>
      <c r="K239" s="485"/>
      <c r="L239" s="485"/>
      <c r="M239" s="485"/>
      <c r="N239" s="486"/>
      <c r="O239" s="487"/>
      <c r="P239" s="485"/>
      <c r="Q239" s="485"/>
      <c r="R239" s="485"/>
      <c r="S239" s="485"/>
      <c r="T239" s="485"/>
      <c r="U239" s="486"/>
      <c r="V239" s="486"/>
      <c r="W239" s="484"/>
      <c r="X239" s="485"/>
      <c r="Y239" s="485"/>
      <c r="Z239" s="485"/>
      <c r="AA239" s="485"/>
      <c r="AB239" s="486"/>
      <c r="AC239" s="487"/>
      <c r="AD239" s="486" t="s">
        <v>1206</v>
      </c>
      <c r="AE239" s="458">
        <f t="shared" si="29"/>
        <v>55</v>
      </c>
      <c r="AF239" t="str">
        <f t="shared" si="30"/>
        <v/>
      </c>
      <c r="AG239" t="str">
        <f t="shared" si="31"/>
        <v/>
      </c>
      <c r="AH239" t="str">
        <f t="shared" si="32"/>
        <v/>
      </c>
      <c r="AI239" s="488"/>
      <c r="AJ239" s="490">
        <v>113</v>
      </c>
      <c r="AK239" s="490" t="s">
        <v>1207</v>
      </c>
    </row>
    <row r="240" spans="1:37" x14ac:dyDescent="0.25">
      <c r="A240" s="483" t="s">
        <v>493</v>
      </c>
      <c r="B240" s="484" t="s">
        <v>66</v>
      </c>
      <c r="C240" s="485"/>
      <c r="D240" s="485" t="s">
        <v>66</v>
      </c>
      <c r="E240" s="485" t="s">
        <v>66</v>
      </c>
      <c r="F240" s="485"/>
      <c r="G240" s="486" t="s">
        <v>1209</v>
      </c>
      <c r="H240" s="487">
        <v>1</v>
      </c>
      <c r="I240" s="484"/>
      <c r="J240" s="485"/>
      <c r="K240" s="485"/>
      <c r="L240" s="485"/>
      <c r="M240" s="485"/>
      <c r="N240" s="486" t="s">
        <v>1205</v>
      </c>
      <c r="O240" s="487">
        <v>1</v>
      </c>
      <c r="P240" s="485"/>
      <c r="Q240" s="485"/>
      <c r="R240" s="485"/>
      <c r="S240" s="485"/>
      <c r="T240" s="485"/>
      <c r="U240" s="486" t="s">
        <v>1209</v>
      </c>
      <c r="V240" s="486">
        <v>2</v>
      </c>
      <c r="W240" s="484"/>
      <c r="X240" s="485"/>
      <c r="Y240" s="485"/>
      <c r="Z240" s="485"/>
      <c r="AA240" s="485"/>
      <c r="AB240" s="486"/>
      <c r="AC240" s="487"/>
      <c r="AD240" s="486" t="s">
        <v>1206</v>
      </c>
      <c r="AE240" s="458">
        <f t="shared" si="29"/>
        <v>55</v>
      </c>
      <c r="AF240">
        <f t="shared" si="30"/>
        <v>35</v>
      </c>
      <c r="AG240">
        <f t="shared" si="31"/>
        <v>60</v>
      </c>
      <c r="AH240" t="str">
        <f t="shared" si="32"/>
        <v/>
      </c>
      <c r="AI240" s="488">
        <v>1000</v>
      </c>
      <c r="AJ240" s="490">
        <v>114</v>
      </c>
      <c r="AK240" s="490" t="s">
        <v>1207</v>
      </c>
    </row>
    <row r="241" spans="1:37" x14ac:dyDescent="0.25">
      <c r="A241" s="483" t="s">
        <v>496</v>
      </c>
      <c r="B241" s="484"/>
      <c r="C241" s="485"/>
      <c r="D241" s="485"/>
      <c r="E241" s="485"/>
      <c r="F241" s="485"/>
      <c r="G241" s="486" t="s">
        <v>1210</v>
      </c>
      <c r="H241" s="487">
        <v>1</v>
      </c>
      <c r="I241" s="484"/>
      <c r="J241" s="485"/>
      <c r="K241" s="485"/>
      <c r="L241" s="485"/>
      <c r="M241" s="485"/>
      <c r="N241" s="486"/>
      <c r="O241" s="487"/>
      <c r="P241" s="485"/>
      <c r="Q241" s="485"/>
      <c r="R241" s="485"/>
      <c r="S241" s="485"/>
      <c r="T241" s="485"/>
      <c r="U241" s="486" t="s">
        <v>1209</v>
      </c>
      <c r="V241" s="486">
        <v>2</v>
      </c>
      <c r="W241" s="484"/>
      <c r="X241" s="485"/>
      <c r="Y241" s="485"/>
      <c r="Z241" s="485"/>
      <c r="AA241" s="485"/>
      <c r="AB241" s="486"/>
      <c r="AC241" s="487"/>
      <c r="AD241" s="486" t="s">
        <v>1206</v>
      </c>
      <c r="AE241" s="458">
        <f t="shared" si="29"/>
        <v>25</v>
      </c>
      <c r="AF241" t="str">
        <f t="shared" si="30"/>
        <v/>
      </c>
      <c r="AG241">
        <f t="shared" si="31"/>
        <v>60</v>
      </c>
      <c r="AH241" t="str">
        <f t="shared" si="32"/>
        <v/>
      </c>
      <c r="AI241" s="488"/>
      <c r="AJ241" s="490">
        <v>115</v>
      </c>
      <c r="AK241" s="490" t="s">
        <v>1207</v>
      </c>
    </row>
    <row r="242" spans="1:37" x14ac:dyDescent="0.25">
      <c r="A242" s="483" t="s">
        <v>499</v>
      </c>
      <c r="B242" s="484" t="s">
        <v>66</v>
      </c>
      <c r="C242" s="485"/>
      <c r="D242" s="485" t="s">
        <v>66</v>
      </c>
      <c r="E242" s="485"/>
      <c r="F242" s="485"/>
      <c r="G242" s="486" t="s">
        <v>1209</v>
      </c>
      <c r="H242" s="487">
        <v>1</v>
      </c>
      <c r="I242" s="484" t="s">
        <v>66</v>
      </c>
      <c r="J242" s="485"/>
      <c r="K242" s="485" t="s">
        <v>66</v>
      </c>
      <c r="L242" s="485" t="s">
        <v>56</v>
      </c>
      <c r="M242" s="485"/>
      <c r="N242" s="486" t="s">
        <v>1209</v>
      </c>
      <c r="O242" s="487">
        <v>1</v>
      </c>
      <c r="P242" s="485" t="s">
        <v>66</v>
      </c>
      <c r="Q242" s="485" t="s">
        <v>66</v>
      </c>
      <c r="R242" s="485" t="s">
        <v>66</v>
      </c>
      <c r="S242" s="485"/>
      <c r="T242" s="485"/>
      <c r="U242" s="486" t="s">
        <v>1209</v>
      </c>
      <c r="V242" s="486">
        <v>1</v>
      </c>
      <c r="W242" s="484"/>
      <c r="X242" s="485"/>
      <c r="Y242" s="485"/>
      <c r="Z242" s="485"/>
      <c r="AA242" s="485"/>
      <c r="AB242" s="486"/>
      <c r="AC242" s="487"/>
      <c r="AD242" s="486" t="s">
        <v>1206</v>
      </c>
      <c r="AE242" s="458">
        <f t="shared" si="29"/>
        <v>55</v>
      </c>
      <c r="AF242">
        <f t="shared" si="30"/>
        <v>55</v>
      </c>
      <c r="AG242">
        <f t="shared" si="31"/>
        <v>60</v>
      </c>
      <c r="AH242" t="str">
        <f t="shared" si="32"/>
        <v/>
      </c>
      <c r="AI242" s="488"/>
      <c r="AJ242" s="490">
        <v>116</v>
      </c>
      <c r="AK242" s="490" t="s">
        <v>1207</v>
      </c>
    </row>
    <row r="243" spans="1:37" x14ac:dyDescent="0.25">
      <c r="A243" s="483" t="s">
        <v>1215</v>
      </c>
      <c r="B243" s="484"/>
      <c r="C243" s="485"/>
      <c r="D243" s="485"/>
      <c r="E243" s="485"/>
      <c r="F243" s="485"/>
      <c r="G243" s="486"/>
      <c r="H243" s="487"/>
      <c r="I243" s="484"/>
      <c r="J243" s="485"/>
      <c r="K243" s="485"/>
      <c r="L243" s="485"/>
      <c r="M243" s="485"/>
      <c r="N243" s="486" t="s">
        <v>1209</v>
      </c>
      <c r="O243" s="487">
        <v>1</v>
      </c>
      <c r="P243" s="485"/>
      <c r="Q243" s="485"/>
      <c r="R243" s="485"/>
      <c r="S243" s="485"/>
      <c r="T243" s="485"/>
      <c r="U243" s="486"/>
      <c r="V243" s="486"/>
      <c r="W243" s="484"/>
      <c r="X243" s="485"/>
      <c r="Y243" s="485"/>
      <c r="Z243" s="485"/>
      <c r="AA243" s="485"/>
      <c r="AB243" s="486"/>
      <c r="AC243" s="487"/>
      <c r="AD243" s="486" t="s">
        <v>1206</v>
      </c>
      <c r="AE243" s="458" t="str">
        <f t="shared" si="29"/>
        <v/>
      </c>
      <c r="AF243">
        <f t="shared" si="30"/>
        <v>55</v>
      </c>
      <c r="AG243" t="str">
        <f t="shared" si="31"/>
        <v/>
      </c>
      <c r="AH243" t="str">
        <f t="shared" si="32"/>
        <v/>
      </c>
      <c r="AI243" s="488"/>
      <c r="AJ243" s="490"/>
      <c r="AK243" s="490"/>
    </row>
    <row r="244" spans="1:37" x14ac:dyDescent="0.25">
      <c r="A244" s="483" t="s">
        <v>1216</v>
      </c>
      <c r="B244" s="484"/>
      <c r="C244" s="485"/>
      <c r="D244" s="485"/>
      <c r="E244" s="485"/>
      <c r="F244" s="485"/>
      <c r="G244" s="486"/>
      <c r="H244" s="487"/>
      <c r="I244" s="484"/>
      <c r="J244" s="485"/>
      <c r="K244" s="485"/>
      <c r="L244" s="485"/>
      <c r="M244" s="485"/>
      <c r="N244" s="486"/>
      <c r="O244" s="487">
        <v>1</v>
      </c>
      <c r="P244" s="485"/>
      <c r="Q244" s="485"/>
      <c r="R244" s="485"/>
      <c r="S244" s="485"/>
      <c r="T244" s="485"/>
      <c r="U244" s="486"/>
      <c r="V244" s="486"/>
      <c r="W244" s="484"/>
      <c r="X244" s="485"/>
      <c r="Y244" s="485"/>
      <c r="Z244" s="485"/>
      <c r="AA244" s="485"/>
      <c r="AB244" s="486"/>
      <c r="AC244" s="487"/>
      <c r="AD244" s="486" t="s">
        <v>1206</v>
      </c>
      <c r="AE244" s="458" t="str">
        <f t="shared" si="29"/>
        <v/>
      </c>
      <c r="AF244" t="str">
        <f t="shared" si="30"/>
        <v/>
      </c>
      <c r="AG244" t="str">
        <f t="shared" si="31"/>
        <v/>
      </c>
      <c r="AH244" t="str">
        <f t="shared" si="32"/>
        <v/>
      </c>
      <c r="AI244" s="488"/>
      <c r="AJ244" s="490"/>
      <c r="AK244" s="490"/>
    </row>
    <row r="245" spans="1:37" x14ac:dyDescent="0.25">
      <c r="A245" s="483" t="s">
        <v>504</v>
      </c>
      <c r="B245" s="484"/>
      <c r="C245" s="485"/>
      <c r="D245" s="485"/>
      <c r="E245" s="485"/>
      <c r="F245" s="485"/>
      <c r="G245" s="486"/>
      <c r="H245" s="487">
        <v>1</v>
      </c>
      <c r="I245" s="484"/>
      <c r="J245" s="485"/>
      <c r="K245" s="485"/>
      <c r="L245" s="485"/>
      <c r="M245" s="485"/>
      <c r="N245" s="486"/>
      <c r="O245" s="487"/>
      <c r="P245" s="485"/>
      <c r="Q245" s="485"/>
      <c r="R245" s="485"/>
      <c r="S245" s="485"/>
      <c r="T245" s="485"/>
      <c r="U245" s="486"/>
      <c r="V245" s="486"/>
      <c r="W245" s="484"/>
      <c r="X245" s="485"/>
      <c r="Y245" s="485"/>
      <c r="Z245" s="485"/>
      <c r="AA245" s="485"/>
      <c r="AB245" s="486"/>
      <c r="AC245" s="487"/>
      <c r="AD245" s="486" t="s">
        <v>1206</v>
      </c>
      <c r="AE245" s="458" t="str">
        <f t="shared" si="29"/>
        <v/>
      </c>
      <c r="AF245" t="str">
        <f t="shared" si="30"/>
        <v/>
      </c>
      <c r="AG245" t="str">
        <f t="shared" si="31"/>
        <v/>
      </c>
      <c r="AH245" t="str">
        <f t="shared" si="32"/>
        <v/>
      </c>
      <c r="AI245" s="488"/>
      <c r="AJ245" s="490">
        <v>231</v>
      </c>
      <c r="AK245" s="490" t="s">
        <v>1207</v>
      </c>
    </row>
    <row r="246" spans="1:37" x14ac:dyDescent="0.25">
      <c r="A246" s="483"/>
      <c r="B246" s="484"/>
      <c r="C246" s="485"/>
      <c r="D246" s="485"/>
      <c r="E246" s="485"/>
      <c r="F246" s="485"/>
      <c r="G246" s="486"/>
      <c r="H246" s="487"/>
      <c r="I246" s="484"/>
      <c r="J246" s="485"/>
      <c r="K246" s="485"/>
      <c r="L246" s="485"/>
      <c r="M246" s="485"/>
      <c r="N246" s="486"/>
      <c r="O246" s="487"/>
      <c r="P246" s="485"/>
      <c r="Q246" s="485"/>
      <c r="R246" s="485"/>
      <c r="S246" s="485"/>
      <c r="T246" s="485"/>
      <c r="U246" s="486"/>
      <c r="V246" s="486"/>
      <c r="W246" s="484"/>
      <c r="X246" s="485"/>
      <c r="Y246" s="485"/>
      <c r="Z246" s="485"/>
      <c r="AA246" s="485"/>
      <c r="AB246" s="486"/>
      <c r="AC246" s="487"/>
      <c r="AD246" s="486"/>
      <c r="AE246" s="458" t="str">
        <f t="shared" ref="AE246:AE266" si="33">IF(G246="S",30,IF(G246="M",50,IF(G246="L",65,"")))</f>
        <v/>
      </c>
      <c r="AI246" s="488"/>
      <c r="AJ246" s="489"/>
      <c r="AK246" s="490"/>
    </row>
    <row r="247" spans="1:37" x14ac:dyDescent="0.25">
      <c r="A247" s="483" t="s">
        <v>1217</v>
      </c>
      <c r="B247" s="484" t="s">
        <v>66</v>
      </c>
      <c r="C247" s="485"/>
      <c r="D247" s="485" t="s">
        <v>66</v>
      </c>
      <c r="E247" s="485" t="s">
        <v>66</v>
      </c>
      <c r="F247" s="485" t="s">
        <v>66</v>
      </c>
      <c r="G247" s="486" t="s">
        <v>1210</v>
      </c>
      <c r="H247" s="487">
        <v>1</v>
      </c>
      <c r="I247" s="491"/>
      <c r="J247" s="492"/>
      <c r="K247" s="492"/>
      <c r="L247" s="492"/>
      <c r="M247" s="492"/>
      <c r="N247" s="493"/>
      <c r="O247" s="494"/>
      <c r="P247" s="492"/>
      <c r="Q247" s="492"/>
      <c r="R247" s="492"/>
      <c r="S247" s="492"/>
      <c r="T247" s="492"/>
      <c r="U247" s="493"/>
      <c r="V247" s="493"/>
      <c r="W247" s="491"/>
      <c r="X247" s="492"/>
      <c r="Y247" s="492"/>
      <c r="Z247" s="492"/>
      <c r="AA247" s="492"/>
      <c r="AB247" s="493"/>
      <c r="AC247" s="494"/>
      <c r="AD247" s="486" t="s">
        <v>1218</v>
      </c>
      <c r="AE247" s="458">
        <f t="shared" si="33"/>
        <v>30</v>
      </c>
      <c r="AI247" s="488"/>
      <c r="AJ247" s="489">
        <v>516</v>
      </c>
      <c r="AK247" s="490" t="s">
        <v>1219</v>
      </c>
    </row>
    <row r="248" spans="1:37" x14ac:dyDescent="0.25">
      <c r="A248" s="986" t="s">
        <v>1441</v>
      </c>
      <c r="B248" s="484" t="s">
        <v>56</v>
      </c>
      <c r="C248" s="485"/>
      <c r="D248" s="485" t="s">
        <v>56</v>
      </c>
      <c r="E248" s="485" t="s">
        <v>56</v>
      </c>
      <c r="F248" s="485" t="s">
        <v>56</v>
      </c>
      <c r="G248" s="486" t="s">
        <v>1210</v>
      </c>
      <c r="H248" s="487"/>
      <c r="I248" s="491"/>
      <c r="J248" s="492"/>
      <c r="K248" s="492"/>
      <c r="L248" s="492"/>
      <c r="M248" s="492"/>
      <c r="N248" s="493"/>
      <c r="O248" s="494"/>
      <c r="P248" s="492"/>
      <c r="Q248" s="492"/>
      <c r="R248" s="492"/>
      <c r="S248" s="492"/>
      <c r="T248" s="492"/>
      <c r="U248" s="493"/>
      <c r="V248" s="493"/>
      <c r="W248" s="491"/>
      <c r="X248" s="492"/>
      <c r="Y248" s="492"/>
      <c r="Z248" s="492"/>
      <c r="AA248" s="492"/>
      <c r="AB248" s="493"/>
      <c r="AC248" s="494"/>
      <c r="AD248" s="486"/>
      <c r="AE248" s="458"/>
      <c r="AI248" s="488"/>
      <c r="AJ248" s="489"/>
      <c r="AK248" s="490"/>
    </row>
    <row r="249" spans="1:37" x14ac:dyDescent="0.25">
      <c r="A249" s="979" t="s">
        <v>1220</v>
      </c>
      <c r="B249" s="484"/>
      <c r="C249" s="485"/>
      <c r="D249" s="485"/>
      <c r="E249" s="485"/>
      <c r="F249" s="485"/>
      <c r="G249" s="486" t="s">
        <v>1208</v>
      </c>
      <c r="H249" s="487">
        <v>1</v>
      </c>
      <c r="I249" s="491"/>
      <c r="J249" s="492"/>
      <c r="K249" s="492"/>
      <c r="L249" s="492"/>
      <c r="M249" s="492"/>
      <c r="N249" s="493"/>
      <c r="O249" s="494"/>
      <c r="P249" s="492"/>
      <c r="Q249" s="492"/>
      <c r="R249" s="492"/>
      <c r="S249" s="492"/>
      <c r="T249" s="492"/>
      <c r="U249" s="493"/>
      <c r="V249" s="493"/>
      <c r="W249" s="491"/>
      <c r="X249" s="492"/>
      <c r="Y249" s="492"/>
      <c r="Z249" s="492"/>
      <c r="AA249" s="492"/>
      <c r="AB249" s="493"/>
      <c r="AC249" s="494"/>
      <c r="AD249" s="486" t="s">
        <v>1218</v>
      </c>
      <c r="AE249" s="458">
        <f t="shared" si="33"/>
        <v>50</v>
      </c>
      <c r="AI249" s="488"/>
      <c r="AJ249" s="489"/>
      <c r="AK249" s="490" t="s">
        <v>1219</v>
      </c>
    </row>
    <row r="250" spans="1:37" x14ac:dyDescent="0.25">
      <c r="A250" s="483" t="s">
        <v>110</v>
      </c>
      <c r="B250" s="484"/>
      <c r="C250" s="485"/>
      <c r="D250" s="485"/>
      <c r="E250" s="485"/>
      <c r="F250" s="485"/>
      <c r="G250" s="486" t="s">
        <v>1205</v>
      </c>
      <c r="H250" s="487">
        <v>1</v>
      </c>
      <c r="I250" s="491"/>
      <c r="J250" s="492"/>
      <c r="K250" s="492"/>
      <c r="L250" s="492"/>
      <c r="M250" s="492"/>
      <c r="N250" s="493"/>
      <c r="O250" s="494"/>
      <c r="P250" s="492"/>
      <c r="Q250" s="492"/>
      <c r="R250" s="492"/>
      <c r="S250" s="492"/>
      <c r="T250" s="492"/>
      <c r="U250" s="493"/>
      <c r="V250" s="493"/>
      <c r="W250" s="491"/>
      <c r="X250" s="492"/>
      <c r="Y250" s="492"/>
      <c r="Z250" s="492"/>
      <c r="AA250" s="492"/>
      <c r="AB250" s="493"/>
      <c r="AC250" s="494"/>
      <c r="AD250" s="486" t="s">
        <v>1218</v>
      </c>
      <c r="AE250" s="458">
        <f t="shared" si="33"/>
        <v>50</v>
      </c>
      <c r="AI250" s="488"/>
      <c r="AJ250" s="489"/>
      <c r="AK250" s="490" t="s">
        <v>1219</v>
      </c>
    </row>
    <row r="251" spans="1:37" x14ac:dyDescent="0.25">
      <c r="A251" s="483" t="s">
        <v>1221</v>
      </c>
      <c r="B251" s="484"/>
      <c r="C251" s="485"/>
      <c r="D251" s="485"/>
      <c r="E251" s="485"/>
      <c r="F251" s="485"/>
      <c r="G251" s="486" t="s">
        <v>1210</v>
      </c>
      <c r="H251" s="487">
        <v>1</v>
      </c>
      <c r="I251" s="491"/>
      <c r="J251" s="492"/>
      <c r="K251" s="492"/>
      <c r="L251" s="492"/>
      <c r="M251" s="492"/>
      <c r="N251" s="493"/>
      <c r="O251" s="494"/>
      <c r="P251" s="492"/>
      <c r="Q251" s="492"/>
      <c r="R251" s="492"/>
      <c r="S251" s="492"/>
      <c r="T251" s="492"/>
      <c r="U251" s="493"/>
      <c r="V251" s="493"/>
      <c r="W251" s="491"/>
      <c r="X251" s="492"/>
      <c r="Y251" s="492"/>
      <c r="Z251" s="492"/>
      <c r="AA251" s="492"/>
      <c r="AB251" s="493"/>
      <c r="AC251" s="494"/>
      <c r="AD251" s="486" t="s">
        <v>1218</v>
      </c>
      <c r="AE251" s="458">
        <f t="shared" si="33"/>
        <v>30</v>
      </c>
      <c r="AI251" s="488"/>
      <c r="AJ251" s="489"/>
      <c r="AK251" s="490" t="s">
        <v>1219</v>
      </c>
    </row>
    <row r="252" spans="1:37" x14ac:dyDescent="0.25">
      <c r="A252" s="483" t="s">
        <v>207</v>
      </c>
      <c r="B252" s="484"/>
      <c r="C252" s="485"/>
      <c r="D252" s="485"/>
      <c r="E252" s="485"/>
      <c r="F252" s="485"/>
      <c r="G252" s="486" t="s">
        <v>1205</v>
      </c>
      <c r="H252" s="487">
        <v>1</v>
      </c>
      <c r="I252" s="491"/>
      <c r="J252" s="492"/>
      <c r="K252" s="492"/>
      <c r="L252" s="492"/>
      <c r="M252" s="492"/>
      <c r="N252" s="493"/>
      <c r="O252" s="494"/>
      <c r="P252" s="492"/>
      <c r="Q252" s="492"/>
      <c r="R252" s="492"/>
      <c r="S252" s="492"/>
      <c r="T252" s="492"/>
      <c r="U252" s="493"/>
      <c r="V252" s="493"/>
      <c r="W252" s="491"/>
      <c r="X252" s="492"/>
      <c r="Y252" s="492"/>
      <c r="Z252" s="492"/>
      <c r="AA252" s="492"/>
      <c r="AB252" s="493"/>
      <c r="AC252" s="494"/>
      <c r="AD252" s="486" t="s">
        <v>1218</v>
      </c>
      <c r="AE252" s="458">
        <f t="shared" si="33"/>
        <v>50</v>
      </c>
      <c r="AI252" s="488"/>
      <c r="AJ252" s="489"/>
      <c r="AK252" s="490" t="s">
        <v>1219</v>
      </c>
    </row>
    <row r="253" spans="1:37" x14ac:dyDescent="0.25">
      <c r="A253" s="483" t="s">
        <v>210</v>
      </c>
      <c r="B253" s="484"/>
      <c r="C253" s="485"/>
      <c r="D253" s="485"/>
      <c r="E253" s="485"/>
      <c r="F253" s="485"/>
      <c r="G253" s="486" t="s">
        <v>1210</v>
      </c>
      <c r="H253" s="487">
        <v>1</v>
      </c>
      <c r="I253" s="491"/>
      <c r="J253" s="492"/>
      <c r="K253" s="492"/>
      <c r="L253" s="492"/>
      <c r="M253" s="492"/>
      <c r="N253" s="493"/>
      <c r="O253" s="494"/>
      <c r="P253" s="492"/>
      <c r="Q253" s="492"/>
      <c r="R253" s="492"/>
      <c r="S253" s="492"/>
      <c r="T253" s="492"/>
      <c r="U253" s="493"/>
      <c r="V253" s="493"/>
      <c r="W253" s="491"/>
      <c r="X253" s="492"/>
      <c r="Y253" s="492"/>
      <c r="Z253" s="492"/>
      <c r="AA253" s="492"/>
      <c r="AB253" s="493"/>
      <c r="AC253" s="494"/>
      <c r="AD253" s="486" t="s">
        <v>1218</v>
      </c>
      <c r="AE253" s="458">
        <f t="shared" si="33"/>
        <v>30</v>
      </c>
      <c r="AI253" s="488"/>
      <c r="AJ253" s="489"/>
      <c r="AK253" s="490" t="s">
        <v>1219</v>
      </c>
    </row>
    <row r="254" spans="1:37" x14ac:dyDescent="0.25">
      <c r="A254" s="483" t="s">
        <v>1222</v>
      </c>
      <c r="B254" s="484"/>
      <c r="C254" s="485"/>
      <c r="D254" s="485"/>
      <c r="E254" s="485"/>
      <c r="F254" s="485"/>
      <c r="G254" s="486" t="s">
        <v>1208</v>
      </c>
      <c r="H254" s="487">
        <v>1</v>
      </c>
      <c r="I254" s="491"/>
      <c r="J254" s="492"/>
      <c r="K254" s="492"/>
      <c r="L254" s="492"/>
      <c r="M254" s="492"/>
      <c r="N254" s="493"/>
      <c r="O254" s="494"/>
      <c r="P254" s="492"/>
      <c r="Q254" s="492"/>
      <c r="R254" s="492"/>
      <c r="S254" s="492"/>
      <c r="T254" s="492"/>
      <c r="U254" s="493"/>
      <c r="V254" s="493"/>
      <c r="W254" s="491"/>
      <c r="X254" s="492"/>
      <c r="Y254" s="492"/>
      <c r="Z254" s="492"/>
      <c r="AA254" s="492"/>
      <c r="AB254" s="493"/>
      <c r="AC254" s="494"/>
      <c r="AD254" s="486" t="s">
        <v>1218</v>
      </c>
      <c r="AE254" s="458">
        <f t="shared" si="33"/>
        <v>50</v>
      </c>
      <c r="AI254" s="488"/>
      <c r="AJ254" s="489"/>
      <c r="AK254" s="490" t="s">
        <v>1219</v>
      </c>
    </row>
    <row r="255" spans="1:37" x14ac:dyDescent="0.25">
      <c r="A255" s="483" t="s">
        <v>310</v>
      </c>
      <c r="B255" s="484"/>
      <c r="C255" s="485"/>
      <c r="D255" s="485"/>
      <c r="E255" s="485"/>
      <c r="F255" s="485"/>
      <c r="G255" s="486"/>
      <c r="H255" s="487">
        <v>2</v>
      </c>
      <c r="I255" s="491"/>
      <c r="J255" s="492"/>
      <c r="K255" s="492"/>
      <c r="L255" s="492"/>
      <c r="M255" s="492"/>
      <c r="N255" s="493"/>
      <c r="O255" s="494"/>
      <c r="P255" s="492"/>
      <c r="Q255" s="492"/>
      <c r="R255" s="492"/>
      <c r="S255" s="492"/>
      <c r="T255" s="492"/>
      <c r="U255" s="493"/>
      <c r="V255" s="493"/>
      <c r="W255" s="491"/>
      <c r="X255" s="492"/>
      <c r="Y255" s="492"/>
      <c r="Z255" s="492"/>
      <c r="AA255" s="492"/>
      <c r="AB255" s="493"/>
      <c r="AC255" s="494"/>
      <c r="AD255" s="486" t="s">
        <v>1218</v>
      </c>
      <c r="AE255" s="458" t="str">
        <f t="shared" si="33"/>
        <v/>
      </c>
      <c r="AI255" s="488"/>
      <c r="AJ255" s="489"/>
      <c r="AK255" s="490" t="s">
        <v>1219</v>
      </c>
    </row>
    <row r="256" spans="1:37" x14ac:dyDescent="0.25">
      <c r="A256" s="483" t="s">
        <v>1223</v>
      </c>
      <c r="B256" s="484"/>
      <c r="C256" s="485"/>
      <c r="D256" s="485"/>
      <c r="E256" s="485"/>
      <c r="F256" s="485"/>
      <c r="G256" s="486"/>
      <c r="H256" s="487">
        <v>1</v>
      </c>
      <c r="I256" s="491"/>
      <c r="J256" s="492"/>
      <c r="K256" s="492"/>
      <c r="L256" s="492"/>
      <c r="M256" s="492"/>
      <c r="N256" s="493"/>
      <c r="O256" s="494"/>
      <c r="P256" s="492"/>
      <c r="Q256" s="492"/>
      <c r="R256" s="492"/>
      <c r="S256" s="492"/>
      <c r="T256" s="492"/>
      <c r="U256" s="493"/>
      <c r="V256" s="493"/>
      <c r="W256" s="491"/>
      <c r="X256" s="492"/>
      <c r="Y256" s="492"/>
      <c r="Z256" s="492"/>
      <c r="AA256" s="492"/>
      <c r="AB256" s="493"/>
      <c r="AC256" s="494"/>
      <c r="AD256" s="486" t="s">
        <v>1218</v>
      </c>
      <c r="AE256" s="458" t="str">
        <f t="shared" si="33"/>
        <v/>
      </c>
      <c r="AI256" s="488"/>
      <c r="AJ256" s="489"/>
      <c r="AK256" s="490" t="s">
        <v>1219</v>
      </c>
    </row>
    <row r="257" spans="1:37" x14ac:dyDescent="0.25">
      <c r="A257" s="483" t="s">
        <v>316</v>
      </c>
      <c r="B257" s="484"/>
      <c r="C257" s="485"/>
      <c r="D257" s="485"/>
      <c r="E257" s="485"/>
      <c r="F257" s="485"/>
      <c r="G257" s="486"/>
      <c r="H257" s="487">
        <v>1</v>
      </c>
      <c r="I257" s="491"/>
      <c r="J257" s="492"/>
      <c r="K257" s="492"/>
      <c r="L257" s="492"/>
      <c r="M257" s="492"/>
      <c r="N257" s="493"/>
      <c r="O257" s="494"/>
      <c r="P257" s="492"/>
      <c r="Q257" s="492"/>
      <c r="R257" s="492"/>
      <c r="S257" s="492"/>
      <c r="T257" s="492"/>
      <c r="U257" s="493"/>
      <c r="V257" s="493"/>
      <c r="W257" s="491"/>
      <c r="X257" s="492"/>
      <c r="Y257" s="492"/>
      <c r="Z257" s="492"/>
      <c r="AA257" s="492"/>
      <c r="AB257" s="493"/>
      <c r="AC257" s="494"/>
      <c r="AD257" s="486" t="s">
        <v>1218</v>
      </c>
      <c r="AE257" s="458" t="str">
        <f t="shared" si="33"/>
        <v/>
      </c>
      <c r="AI257" s="488"/>
      <c r="AJ257" s="489"/>
      <c r="AK257" s="490" t="s">
        <v>1219</v>
      </c>
    </row>
    <row r="258" spans="1:37" x14ac:dyDescent="0.25">
      <c r="A258" s="483" t="s">
        <v>324</v>
      </c>
      <c r="B258" s="484"/>
      <c r="C258" s="485"/>
      <c r="D258" s="485"/>
      <c r="E258" s="485"/>
      <c r="F258" s="485"/>
      <c r="G258" s="486" t="s">
        <v>1210</v>
      </c>
      <c r="H258" s="487">
        <v>1</v>
      </c>
      <c r="I258" s="491"/>
      <c r="J258" s="492"/>
      <c r="K258" s="492"/>
      <c r="L258" s="492"/>
      <c r="M258" s="492"/>
      <c r="N258" s="493"/>
      <c r="O258" s="494"/>
      <c r="P258" s="492"/>
      <c r="Q258" s="492"/>
      <c r="R258" s="492"/>
      <c r="S258" s="492"/>
      <c r="T258" s="492"/>
      <c r="U258" s="493"/>
      <c r="V258" s="493"/>
      <c r="W258" s="491"/>
      <c r="X258" s="492"/>
      <c r="Y258" s="492"/>
      <c r="Z258" s="492"/>
      <c r="AA258" s="492"/>
      <c r="AB258" s="493"/>
      <c r="AC258" s="494"/>
      <c r="AD258" s="486" t="s">
        <v>1218</v>
      </c>
      <c r="AE258" s="458">
        <f t="shared" si="33"/>
        <v>30</v>
      </c>
      <c r="AI258" s="488"/>
      <c r="AJ258" s="489"/>
      <c r="AK258" s="490" t="s">
        <v>1219</v>
      </c>
    </row>
    <row r="259" spans="1:37" x14ac:dyDescent="0.25">
      <c r="A259" s="483" t="s">
        <v>327</v>
      </c>
      <c r="B259" s="484"/>
      <c r="C259" s="485"/>
      <c r="D259" s="485"/>
      <c r="E259" s="485"/>
      <c r="F259" s="485"/>
      <c r="G259" s="486" t="s">
        <v>1210</v>
      </c>
      <c r="H259" s="487">
        <v>1</v>
      </c>
      <c r="I259" s="491"/>
      <c r="J259" s="492"/>
      <c r="K259" s="492"/>
      <c r="L259" s="492"/>
      <c r="M259" s="492"/>
      <c r="N259" s="493"/>
      <c r="O259" s="494"/>
      <c r="P259" s="492"/>
      <c r="Q259" s="492"/>
      <c r="R259" s="492"/>
      <c r="S259" s="492"/>
      <c r="T259" s="492"/>
      <c r="U259" s="493"/>
      <c r="V259" s="493"/>
      <c r="W259" s="491"/>
      <c r="X259" s="492"/>
      <c r="Y259" s="492"/>
      <c r="Z259" s="492"/>
      <c r="AA259" s="492"/>
      <c r="AB259" s="493"/>
      <c r="AC259" s="494"/>
      <c r="AD259" s="486" t="s">
        <v>1218</v>
      </c>
      <c r="AE259" s="458">
        <f t="shared" si="33"/>
        <v>30</v>
      </c>
      <c r="AI259" s="488"/>
      <c r="AJ259" s="489"/>
      <c r="AK259" s="490" t="s">
        <v>1219</v>
      </c>
    </row>
    <row r="260" spans="1:37" x14ac:dyDescent="0.25">
      <c r="A260" s="483" t="s">
        <v>345</v>
      </c>
      <c r="B260" s="484"/>
      <c r="C260" s="485"/>
      <c r="D260" s="485"/>
      <c r="E260" s="485"/>
      <c r="F260" s="485"/>
      <c r="G260" s="486"/>
      <c r="H260" s="487">
        <v>1</v>
      </c>
      <c r="I260" s="491"/>
      <c r="J260" s="492"/>
      <c r="K260" s="492"/>
      <c r="L260" s="492"/>
      <c r="M260" s="492"/>
      <c r="N260" s="493"/>
      <c r="O260" s="494"/>
      <c r="P260" s="492"/>
      <c r="Q260" s="492"/>
      <c r="R260" s="492"/>
      <c r="S260" s="492"/>
      <c r="T260" s="492"/>
      <c r="U260" s="493"/>
      <c r="V260" s="493"/>
      <c r="W260" s="491"/>
      <c r="X260" s="492"/>
      <c r="Y260" s="492"/>
      <c r="Z260" s="492"/>
      <c r="AA260" s="492"/>
      <c r="AB260" s="493"/>
      <c r="AC260" s="494"/>
      <c r="AD260" s="486" t="s">
        <v>1218</v>
      </c>
      <c r="AE260" s="458" t="str">
        <f t="shared" si="33"/>
        <v/>
      </c>
      <c r="AI260" s="488"/>
      <c r="AJ260" s="489"/>
      <c r="AK260" s="490" t="s">
        <v>1219</v>
      </c>
    </row>
    <row r="261" spans="1:37" x14ac:dyDescent="0.25">
      <c r="A261" s="483" t="s">
        <v>1224</v>
      </c>
      <c r="B261" s="484"/>
      <c r="C261" s="485"/>
      <c r="D261" s="485"/>
      <c r="E261" s="485"/>
      <c r="F261" s="485"/>
      <c r="G261" s="486"/>
      <c r="H261" s="487">
        <v>1</v>
      </c>
      <c r="I261" s="491"/>
      <c r="J261" s="492"/>
      <c r="K261" s="492"/>
      <c r="L261" s="492"/>
      <c r="M261" s="492"/>
      <c r="N261" s="493"/>
      <c r="O261" s="494"/>
      <c r="P261" s="492"/>
      <c r="Q261" s="492"/>
      <c r="R261" s="492"/>
      <c r="S261" s="492"/>
      <c r="T261" s="492"/>
      <c r="U261" s="493"/>
      <c r="V261" s="493"/>
      <c r="W261" s="491"/>
      <c r="X261" s="492"/>
      <c r="Y261" s="492"/>
      <c r="Z261" s="492"/>
      <c r="AA261" s="492"/>
      <c r="AB261" s="493"/>
      <c r="AC261" s="494"/>
      <c r="AD261" s="486" t="s">
        <v>1218</v>
      </c>
      <c r="AE261" s="458" t="str">
        <f t="shared" si="33"/>
        <v/>
      </c>
      <c r="AI261" s="488"/>
      <c r="AJ261" s="489"/>
      <c r="AK261" s="490" t="s">
        <v>1219</v>
      </c>
    </row>
    <row r="262" spans="1:37" x14ac:dyDescent="0.25">
      <c r="A262" s="483" t="s">
        <v>1225</v>
      </c>
      <c r="B262" s="484"/>
      <c r="C262" s="485"/>
      <c r="D262" s="485"/>
      <c r="E262" s="485"/>
      <c r="F262" s="485"/>
      <c r="G262" s="486"/>
      <c r="H262" s="487">
        <v>1</v>
      </c>
      <c r="I262" s="491"/>
      <c r="J262" s="492"/>
      <c r="K262" s="492"/>
      <c r="L262" s="492"/>
      <c r="M262" s="492"/>
      <c r="N262" s="493"/>
      <c r="O262" s="494"/>
      <c r="P262" s="492"/>
      <c r="Q262" s="492"/>
      <c r="R262" s="492"/>
      <c r="S262" s="492"/>
      <c r="T262" s="492"/>
      <c r="U262" s="493"/>
      <c r="V262" s="493"/>
      <c r="W262" s="491"/>
      <c r="X262" s="492"/>
      <c r="Y262" s="492"/>
      <c r="Z262" s="492"/>
      <c r="AA262" s="492"/>
      <c r="AB262" s="493"/>
      <c r="AC262" s="494"/>
      <c r="AD262" s="486" t="s">
        <v>1218</v>
      </c>
      <c r="AE262" s="458" t="str">
        <f t="shared" si="33"/>
        <v/>
      </c>
      <c r="AI262" s="488"/>
      <c r="AJ262" s="489"/>
      <c r="AK262" s="490" t="s">
        <v>1219</v>
      </c>
    </row>
    <row r="263" spans="1:37" x14ac:dyDescent="0.25">
      <c r="A263" s="483" t="s">
        <v>794</v>
      </c>
      <c r="B263" s="484"/>
      <c r="C263" s="485"/>
      <c r="D263" s="485"/>
      <c r="E263" s="485"/>
      <c r="F263" s="485"/>
      <c r="G263" s="486" t="s">
        <v>1210</v>
      </c>
      <c r="H263" s="487">
        <v>1</v>
      </c>
      <c r="I263" s="491"/>
      <c r="J263" s="492"/>
      <c r="K263" s="492"/>
      <c r="L263" s="492"/>
      <c r="M263" s="492"/>
      <c r="N263" s="493"/>
      <c r="O263" s="494"/>
      <c r="P263" s="492"/>
      <c r="Q263" s="492"/>
      <c r="R263" s="492"/>
      <c r="S263" s="492"/>
      <c r="T263" s="492"/>
      <c r="U263" s="493"/>
      <c r="V263" s="493"/>
      <c r="W263" s="491"/>
      <c r="X263" s="492"/>
      <c r="Y263" s="492"/>
      <c r="Z263" s="492"/>
      <c r="AA263" s="492"/>
      <c r="AB263" s="493"/>
      <c r="AC263" s="494"/>
      <c r="AD263" s="486" t="s">
        <v>1218</v>
      </c>
      <c r="AE263" s="458">
        <f t="shared" si="33"/>
        <v>30</v>
      </c>
      <c r="AI263" s="488"/>
      <c r="AJ263" s="489"/>
      <c r="AK263" s="490" t="s">
        <v>1219</v>
      </c>
    </row>
    <row r="264" spans="1:37" x14ac:dyDescent="0.25">
      <c r="A264" s="483" t="s">
        <v>360</v>
      </c>
      <c r="B264" s="484"/>
      <c r="C264" s="485"/>
      <c r="D264" s="485"/>
      <c r="E264" s="485"/>
      <c r="F264" s="485"/>
      <c r="G264" s="486" t="s">
        <v>1205</v>
      </c>
      <c r="H264" s="487">
        <v>1</v>
      </c>
      <c r="I264" s="491"/>
      <c r="J264" s="492"/>
      <c r="K264" s="492"/>
      <c r="L264" s="492"/>
      <c r="M264" s="492"/>
      <c r="N264" s="493"/>
      <c r="O264" s="494"/>
      <c r="P264" s="492"/>
      <c r="Q264" s="492"/>
      <c r="R264" s="492"/>
      <c r="S264" s="492"/>
      <c r="T264" s="492"/>
      <c r="U264" s="493"/>
      <c r="V264" s="493"/>
      <c r="W264" s="491"/>
      <c r="X264" s="492"/>
      <c r="Y264" s="492"/>
      <c r="Z264" s="492"/>
      <c r="AA264" s="492"/>
      <c r="AB264" s="493"/>
      <c r="AC264" s="494"/>
      <c r="AD264" s="486" t="s">
        <v>1218</v>
      </c>
      <c r="AE264" s="458">
        <f t="shared" si="33"/>
        <v>50</v>
      </c>
      <c r="AI264" s="488"/>
      <c r="AJ264" s="489"/>
      <c r="AK264" s="490" t="s">
        <v>1219</v>
      </c>
    </row>
    <row r="265" spans="1:37" x14ac:dyDescent="0.25">
      <c r="A265" s="483" t="s">
        <v>496</v>
      </c>
      <c r="B265" s="484"/>
      <c r="C265" s="485"/>
      <c r="D265" s="485"/>
      <c r="E265" s="485"/>
      <c r="F265" s="485"/>
      <c r="G265" s="486"/>
      <c r="H265" s="487">
        <v>1</v>
      </c>
      <c r="I265" s="491"/>
      <c r="J265" s="492"/>
      <c r="K265" s="492"/>
      <c r="L265" s="492"/>
      <c r="M265" s="492"/>
      <c r="N265" s="493"/>
      <c r="O265" s="494"/>
      <c r="P265" s="492"/>
      <c r="Q265" s="492"/>
      <c r="R265" s="492"/>
      <c r="S265" s="492"/>
      <c r="T265" s="492"/>
      <c r="U265" s="493"/>
      <c r="V265" s="493"/>
      <c r="W265" s="491"/>
      <c r="X265" s="492"/>
      <c r="Y265" s="492"/>
      <c r="Z265" s="492"/>
      <c r="AA265" s="492"/>
      <c r="AB265" s="493"/>
      <c r="AC265" s="494"/>
      <c r="AD265" s="486" t="s">
        <v>1218</v>
      </c>
      <c r="AE265" s="458" t="str">
        <f t="shared" si="33"/>
        <v/>
      </c>
      <c r="AI265" s="488"/>
      <c r="AJ265" s="489"/>
      <c r="AK265" s="490" t="s">
        <v>1219</v>
      </c>
    </row>
    <row r="266" spans="1:37" x14ac:dyDescent="0.25">
      <c r="A266" s="483" t="s">
        <v>1226</v>
      </c>
      <c r="B266" s="484"/>
      <c r="C266" s="485"/>
      <c r="D266" s="485"/>
      <c r="E266" s="485"/>
      <c r="F266" s="485"/>
      <c r="G266" s="486"/>
      <c r="H266" s="487">
        <v>1</v>
      </c>
      <c r="I266" s="491"/>
      <c r="J266" s="492"/>
      <c r="K266" s="492"/>
      <c r="L266" s="492"/>
      <c r="M266" s="492"/>
      <c r="N266" s="493"/>
      <c r="O266" s="494"/>
      <c r="P266" s="492"/>
      <c r="Q266" s="492"/>
      <c r="R266" s="492"/>
      <c r="S266" s="492"/>
      <c r="T266" s="492"/>
      <c r="U266" s="493"/>
      <c r="V266" s="493"/>
      <c r="W266" s="491"/>
      <c r="X266" s="492"/>
      <c r="Y266" s="492"/>
      <c r="Z266" s="492"/>
      <c r="AA266" s="492"/>
      <c r="AB266" s="493"/>
      <c r="AC266" s="494"/>
      <c r="AD266" s="486" t="s">
        <v>1218</v>
      </c>
      <c r="AE266" s="458" t="str">
        <f t="shared" si="33"/>
        <v/>
      </c>
      <c r="AI266" s="488"/>
      <c r="AJ266" s="489"/>
      <c r="AK266" s="490" t="s">
        <v>1219</v>
      </c>
    </row>
    <row r="267" spans="1:37" x14ac:dyDescent="0.25">
      <c r="A267" s="483"/>
      <c r="B267" s="484"/>
      <c r="C267" s="485"/>
      <c r="D267" s="485"/>
      <c r="E267" s="485"/>
      <c r="F267" s="485"/>
      <c r="G267" s="486"/>
      <c r="H267" s="487"/>
      <c r="I267" s="484"/>
      <c r="J267" s="485"/>
      <c r="K267" s="485"/>
      <c r="L267" s="485"/>
      <c r="M267" s="485"/>
      <c r="N267" s="486"/>
      <c r="O267" s="487"/>
      <c r="P267" s="485"/>
      <c r="Q267" s="485"/>
      <c r="R267" s="485"/>
      <c r="S267" s="485"/>
      <c r="T267" s="485"/>
      <c r="U267" s="486"/>
      <c r="V267" s="486"/>
      <c r="W267" s="484"/>
      <c r="X267" s="485"/>
      <c r="Y267" s="485"/>
      <c r="Z267" s="485"/>
      <c r="AA267" s="485"/>
      <c r="AB267" s="486"/>
      <c r="AC267" s="487"/>
      <c r="AD267" s="486"/>
      <c r="AE267" s="458"/>
      <c r="AI267" s="488"/>
      <c r="AJ267" s="489"/>
      <c r="AK267" s="490"/>
    </row>
    <row r="268" spans="1:37" x14ac:dyDescent="0.25">
      <c r="A268" s="483" t="s">
        <v>775</v>
      </c>
      <c r="B268" s="484" t="s">
        <v>66</v>
      </c>
      <c r="C268" s="485" t="s">
        <v>66</v>
      </c>
      <c r="D268" s="485" t="s">
        <v>66</v>
      </c>
      <c r="E268" s="485" t="s">
        <v>66</v>
      </c>
      <c r="F268" s="485"/>
      <c r="G268" s="486" t="s">
        <v>1205</v>
      </c>
      <c r="H268" s="487">
        <v>1</v>
      </c>
      <c r="I268" s="491"/>
      <c r="J268" s="492"/>
      <c r="K268" s="492"/>
      <c r="L268" s="492"/>
      <c r="M268" s="492"/>
      <c r="N268" s="493"/>
      <c r="O268" s="494"/>
      <c r="P268" s="492"/>
      <c r="Q268" s="492"/>
      <c r="R268" s="492"/>
      <c r="S268" s="492"/>
      <c r="T268" s="492"/>
      <c r="U268" s="493"/>
      <c r="V268" s="493"/>
      <c r="W268" s="491"/>
      <c r="X268" s="492"/>
      <c r="Y268" s="492"/>
      <c r="Z268" s="492"/>
      <c r="AA268" s="492"/>
      <c r="AB268" s="493"/>
      <c r="AC268" s="494"/>
      <c r="AD268" s="495" t="s">
        <v>777</v>
      </c>
      <c r="AE268" s="458"/>
      <c r="AI268" s="488"/>
      <c r="AJ268" s="489">
        <v>100</v>
      </c>
      <c r="AK268" s="490" t="s">
        <v>1227</v>
      </c>
    </row>
    <row r="269" spans="1:37" x14ac:dyDescent="0.25">
      <c r="A269" s="483" t="s">
        <v>1359</v>
      </c>
      <c r="B269" s="484"/>
      <c r="C269" s="485"/>
      <c r="D269" s="485"/>
      <c r="E269" s="485"/>
      <c r="F269" s="485"/>
      <c r="G269" s="486" t="s">
        <v>1205</v>
      </c>
      <c r="H269" s="487"/>
      <c r="I269" s="491"/>
      <c r="J269" s="492"/>
      <c r="K269" s="492"/>
      <c r="L269" s="492"/>
      <c r="M269" s="492"/>
      <c r="N269" s="493"/>
      <c r="O269" s="494"/>
      <c r="P269" s="492"/>
      <c r="Q269" s="492"/>
      <c r="R269" s="492"/>
      <c r="S269" s="492"/>
      <c r="T269" s="492"/>
      <c r="U269" s="493"/>
      <c r="V269" s="493"/>
      <c r="W269" s="491"/>
      <c r="X269" s="492"/>
      <c r="Y269" s="492"/>
      <c r="Z269" s="492"/>
      <c r="AA269" s="492"/>
      <c r="AB269" s="493"/>
      <c r="AC269" s="494"/>
      <c r="AD269" s="486" t="s">
        <v>1359</v>
      </c>
      <c r="AE269" s="458"/>
      <c r="AI269" s="488"/>
      <c r="AJ269" s="489">
        <v>100</v>
      </c>
      <c r="AK269" s="490" t="s">
        <v>1227</v>
      </c>
    </row>
    <row r="270" spans="1:37" x14ac:dyDescent="0.25">
      <c r="A270" s="483"/>
      <c r="B270" s="484"/>
      <c r="C270" s="485"/>
      <c r="D270" s="485"/>
      <c r="E270" s="485"/>
      <c r="F270" s="485"/>
      <c r="G270" s="486"/>
      <c r="H270" s="487"/>
      <c r="I270" s="484"/>
      <c r="J270" s="485"/>
      <c r="K270" s="485"/>
      <c r="L270" s="485"/>
      <c r="M270" s="485"/>
      <c r="N270" s="486"/>
      <c r="O270" s="487"/>
      <c r="P270" s="485"/>
      <c r="Q270" s="485"/>
      <c r="R270" s="485"/>
      <c r="S270" s="485"/>
      <c r="T270" s="485"/>
      <c r="U270" s="486"/>
      <c r="V270" s="486"/>
      <c r="W270" s="484"/>
      <c r="X270" s="485"/>
      <c r="Y270" s="485"/>
      <c r="Z270" s="485"/>
      <c r="AA270" s="485"/>
      <c r="AB270" s="486"/>
      <c r="AC270" s="487"/>
      <c r="AD270" s="486"/>
      <c r="AE270" s="458"/>
      <c r="AI270" s="488"/>
      <c r="AJ270" s="489"/>
      <c r="AK270" s="490"/>
    </row>
    <row r="271" spans="1:37" x14ac:dyDescent="0.25">
      <c r="A271" s="483" t="s">
        <v>816</v>
      </c>
      <c r="B271" s="484" t="s">
        <v>66</v>
      </c>
      <c r="C271" s="485"/>
      <c r="D271" s="485" t="s">
        <v>66</v>
      </c>
      <c r="E271" s="485" t="s">
        <v>66</v>
      </c>
      <c r="F271" s="485"/>
      <c r="G271" s="486" t="s">
        <v>1205</v>
      </c>
      <c r="H271" s="487">
        <v>1</v>
      </c>
      <c r="I271" s="491"/>
      <c r="J271" s="492"/>
      <c r="K271" s="492"/>
      <c r="L271" s="492"/>
      <c r="M271" s="492"/>
      <c r="N271" s="493"/>
      <c r="O271" s="494"/>
      <c r="P271" s="492"/>
      <c r="Q271" s="492"/>
      <c r="R271" s="492"/>
      <c r="S271" s="492"/>
      <c r="T271" s="492"/>
      <c r="U271" s="493"/>
      <c r="V271" s="493"/>
      <c r="W271" s="491"/>
      <c r="X271" s="492"/>
      <c r="Y271" s="492"/>
      <c r="Z271" s="492"/>
      <c r="AA271" s="492"/>
      <c r="AB271" s="493"/>
      <c r="AC271" s="494"/>
      <c r="AD271" s="486" t="s">
        <v>1228</v>
      </c>
      <c r="AE271" s="458">
        <v>45</v>
      </c>
      <c r="AI271" s="488"/>
      <c r="AJ271" s="490">
        <v>273</v>
      </c>
      <c r="AK271" s="490" t="s">
        <v>1229</v>
      </c>
    </row>
    <row r="272" spans="1:37" x14ac:dyDescent="0.25">
      <c r="A272" s="483" t="s">
        <v>819</v>
      </c>
      <c r="B272" s="484" t="s">
        <v>66</v>
      </c>
      <c r="C272" s="485"/>
      <c r="D272" s="485" t="s">
        <v>66</v>
      </c>
      <c r="E272" s="485" t="s">
        <v>56</v>
      </c>
      <c r="F272" s="485"/>
      <c r="G272" s="486" t="s">
        <v>1205</v>
      </c>
      <c r="H272" s="487">
        <v>1</v>
      </c>
      <c r="I272" s="491"/>
      <c r="J272" s="492"/>
      <c r="K272" s="492"/>
      <c r="L272" s="492"/>
      <c r="M272" s="492"/>
      <c r="N272" s="493"/>
      <c r="O272" s="494"/>
      <c r="P272" s="492"/>
      <c r="Q272" s="492"/>
      <c r="R272" s="492"/>
      <c r="S272" s="492"/>
      <c r="T272" s="492"/>
      <c r="U272" s="493"/>
      <c r="V272" s="493"/>
      <c r="W272" s="491"/>
      <c r="X272" s="492"/>
      <c r="Y272" s="492"/>
      <c r="Z272" s="492"/>
      <c r="AA272" s="492"/>
      <c r="AB272" s="493"/>
      <c r="AC272" s="494"/>
      <c r="AD272" s="486" t="s">
        <v>1228</v>
      </c>
      <c r="AE272" s="458">
        <v>45</v>
      </c>
      <c r="AI272" s="488"/>
      <c r="AJ272" s="490">
        <v>277</v>
      </c>
      <c r="AK272" s="490" t="s">
        <v>1229</v>
      </c>
    </row>
    <row r="273" spans="1:37" x14ac:dyDescent="0.25">
      <c r="A273" s="483" t="s">
        <v>821</v>
      </c>
      <c r="B273" s="484"/>
      <c r="C273" s="485"/>
      <c r="D273" s="485"/>
      <c r="E273" s="485"/>
      <c r="F273" s="485"/>
      <c r="G273" s="486" t="s">
        <v>1205</v>
      </c>
      <c r="H273" s="487">
        <v>2</v>
      </c>
      <c r="I273" s="491"/>
      <c r="J273" s="492"/>
      <c r="K273" s="492"/>
      <c r="L273" s="492"/>
      <c r="M273" s="492"/>
      <c r="N273" s="493"/>
      <c r="O273" s="494"/>
      <c r="P273" s="492"/>
      <c r="Q273" s="492"/>
      <c r="R273" s="492"/>
      <c r="S273" s="492"/>
      <c r="T273" s="492"/>
      <c r="U273" s="493"/>
      <c r="V273" s="493"/>
      <c r="W273" s="491"/>
      <c r="X273" s="492"/>
      <c r="Y273" s="492"/>
      <c r="Z273" s="492"/>
      <c r="AA273" s="492"/>
      <c r="AB273" s="493"/>
      <c r="AC273" s="494"/>
      <c r="AD273" s="486" t="s">
        <v>1228</v>
      </c>
      <c r="AE273" s="458">
        <v>45</v>
      </c>
      <c r="AI273" s="488"/>
      <c r="AJ273" s="490">
        <v>275</v>
      </c>
      <c r="AK273" s="490" t="s">
        <v>1229</v>
      </c>
    </row>
    <row r="274" spans="1:37" x14ac:dyDescent="0.25">
      <c r="A274" s="483" t="s">
        <v>823</v>
      </c>
      <c r="B274" s="484"/>
      <c r="C274" s="485"/>
      <c r="D274" s="485"/>
      <c r="E274" s="485"/>
      <c r="F274" s="485"/>
      <c r="G274" s="486" t="s">
        <v>1205</v>
      </c>
      <c r="H274" s="487">
        <v>2</v>
      </c>
      <c r="I274" s="491"/>
      <c r="J274" s="492"/>
      <c r="K274" s="492"/>
      <c r="L274" s="492"/>
      <c r="M274" s="492"/>
      <c r="N274" s="493"/>
      <c r="O274" s="494"/>
      <c r="P274" s="492"/>
      <c r="Q274" s="492"/>
      <c r="R274" s="492"/>
      <c r="S274" s="492"/>
      <c r="T274" s="492"/>
      <c r="U274" s="493"/>
      <c r="V274" s="493"/>
      <c r="W274" s="491"/>
      <c r="X274" s="492"/>
      <c r="Y274" s="492"/>
      <c r="Z274" s="492"/>
      <c r="AA274" s="492"/>
      <c r="AB274" s="493"/>
      <c r="AC274" s="494"/>
      <c r="AD274" s="486" t="s">
        <v>1228</v>
      </c>
      <c r="AE274" s="458">
        <v>45</v>
      </c>
      <c r="AI274" s="488"/>
      <c r="AJ274" s="490">
        <v>274</v>
      </c>
      <c r="AK274" s="490" t="s">
        <v>1229</v>
      </c>
    </row>
    <row r="275" spans="1:37" x14ac:dyDescent="0.25">
      <c r="A275" s="483" t="s">
        <v>825</v>
      </c>
      <c r="B275" s="484"/>
      <c r="C275" s="485"/>
      <c r="D275" s="485"/>
      <c r="E275" s="485"/>
      <c r="F275" s="485"/>
      <c r="G275" s="486"/>
      <c r="H275" s="487">
        <v>2</v>
      </c>
      <c r="I275" s="491"/>
      <c r="J275" s="492"/>
      <c r="K275" s="492"/>
      <c r="L275" s="492"/>
      <c r="M275" s="492"/>
      <c r="N275" s="493"/>
      <c r="O275" s="494"/>
      <c r="P275" s="492"/>
      <c r="Q275" s="492"/>
      <c r="R275" s="492"/>
      <c r="S275" s="492"/>
      <c r="T275" s="492"/>
      <c r="U275" s="493"/>
      <c r="V275" s="493"/>
      <c r="W275" s="491"/>
      <c r="X275" s="492"/>
      <c r="Y275" s="492"/>
      <c r="Z275" s="492"/>
      <c r="AA275" s="492"/>
      <c r="AB275" s="493"/>
      <c r="AC275" s="494"/>
      <c r="AD275" s="486" t="s">
        <v>1228</v>
      </c>
      <c r="AE275" s="458">
        <v>45</v>
      </c>
      <c r="AI275" s="488"/>
      <c r="AJ275" s="489"/>
      <c r="AK275" s="490" t="s">
        <v>1229</v>
      </c>
    </row>
    <row r="276" spans="1:37" x14ac:dyDescent="0.25">
      <c r="A276" s="483" t="s">
        <v>826</v>
      </c>
      <c r="B276" s="484"/>
      <c r="C276" s="485"/>
      <c r="D276" s="485"/>
      <c r="E276" s="485"/>
      <c r="F276" s="485"/>
      <c r="G276" s="486"/>
      <c r="H276" s="487">
        <v>2</v>
      </c>
      <c r="I276" s="491"/>
      <c r="J276" s="492"/>
      <c r="K276" s="492"/>
      <c r="L276" s="492"/>
      <c r="M276" s="492"/>
      <c r="N276" s="493"/>
      <c r="O276" s="494"/>
      <c r="P276" s="492"/>
      <c r="Q276" s="492"/>
      <c r="R276" s="492"/>
      <c r="S276" s="492"/>
      <c r="T276" s="492"/>
      <c r="U276" s="493"/>
      <c r="V276" s="493"/>
      <c r="W276" s="491"/>
      <c r="X276" s="492"/>
      <c r="Y276" s="492"/>
      <c r="Z276" s="492"/>
      <c r="AA276" s="492"/>
      <c r="AB276" s="493"/>
      <c r="AC276" s="494"/>
      <c r="AD276" s="486" t="s">
        <v>1228</v>
      </c>
      <c r="AE276" s="458">
        <v>45</v>
      </c>
      <c r="AI276" s="488"/>
      <c r="AJ276" s="489"/>
      <c r="AK276" s="490" t="s">
        <v>1229</v>
      </c>
    </row>
    <row r="277" spans="1:37" x14ac:dyDescent="0.25">
      <c r="A277" s="483" t="s">
        <v>827</v>
      </c>
      <c r="B277" s="484"/>
      <c r="C277" s="485"/>
      <c r="D277" s="485"/>
      <c r="E277" s="485"/>
      <c r="F277" s="485"/>
      <c r="G277" s="486"/>
      <c r="H277" s="487">
        <v>2</v>
      </c>
      <c r="I277" s="491"/>
      <c r="J277" s="492"/>
      <c r="K277" s="492"/>
      <c r="L277" s="492"/>
      <c r="M277" s="492"/>
      <c r="N277" s="493"/>
      <c r="O277" s="494"/>
      <c r="P277" s="492"/>
      <c r="Q277" s="492"/>
      <c r="R277" s="492"/>
      <c r="S277" s="492"/>
      <c r="T277" s="492"/>
      <c r="U277" s="493"/>
      <c r="V277" s="493"/>
      <c r="W277" s="491"/>
      <c r="X277" s="492"/>
      <c r="Y277" s="492"/>
      <c r="Z277" s="492"/>
      <c r="AA277" s="492"/>
      <c r="AB277" s="493"/>
      <c r="AC277" s="494"/>
      <c r="AD277" s="486" t="s">
        <v>1228</v>
      </c>
      <c r="AE277" s="458">
        <v>45</v>
      </c>
      <c r="AI277" s="488"/>
      <c r="AJ277" s="489"/>
      <c r="AK277" s="490" t="s">
        <v>1229</v>
      </c>
    </row>
    <row r="278" spans="1:37" x14ac:dyDescent="0.25">
      <c r="A278" s="483" t="s">
        <v>828</v>
      </c>
      <c r="B278" s="484"/>
      <c r="C278" s="485"/>
      <c r="D278" s="485"/>
      <c r="E278" s="485"/>
      <c r="F278" s="485"/>
      <c r="G278" s="486" t="s">
        <v>1209</v>
      </c>
      <c r="H278" s="487">
        <v>1</v>
      </c>
      <c r="I278" s="491"/>
      <c r="J278" s="492"/>
      <c r="K278" s="492"/>
      <c r="L278" s="492"/>
      <c r="M278" s="492"/>
      <c r="N278" s="493"/>
      <c r="O278" s="494"/>
      <c r="P278" s="492"/>
      <c r="Q278" s="492"/>
      <c r="R278" s="492"/>
      <c r="S278" s="492"/>
      <c r="T278" s="492"/>
      <c r="U278" s="493"/>
      <c r="V278" s="493"/>
      <c r="W278" s="491"/>
      <c r="X278" s="492"/>
      <c r="Y278" s="492"/>
      <c r="Z278" s="492"/>
      <c r="AA278" s="492"/>
      <c r="AB278" s="493"/>
      <c r="AC278" s="494"/>
      <c r="AD278" s="486" t="s">
        <v>1228</v>
      </c>
      <c r="AE278" s="458">
        <v>45</v>
      </c>
      <c r="AI278" s="488"/>
      <c r="AJ278" s="489"/>
      <c r="AK278" s="490" t="s">
        <v>1229</v>
      </c>
    </row>
    <row r="279" spans="1:37" x14ac:dyDescent="0.25">
      <c r="A279" s="483" t="s">
        <v>829</v>
      </c>
      <c r="B279" s="484"/>
      <c r="C279" s="485"/>
      <c r="D279" s="485"/>
      <c r="E279" s="485"/>
      <c r="F279" s="485"/>
      <c r="G279" s="486"/>
      <c r="H279" s="487">
        <v>2</v>
      </c>
      <c r="I279" s="491"/>
      <c r="J279" s="492"/>
      <c r="K279" s="492"/>
      <c r="L279" s="492"/>
      <c r="M279" s="492"/>
      <c r="N279" s="493"/>
      <c r="O279" s="494"/>
      <c r="P279" s="492"/>
      <c r="Q279" s="492"/>
      <c r="R279" s="492"/>
      <c r="S279" s="492"/>
      <c r="T279" s="492"/>
      <c r="U279" s="493"/>
      <c r="V279" s="493"/>
      <c r="W279" s="491"/>
      <c r="X279" s="492"/>
      <c r="Y279" s="492"/>
      <c r="Z279" s="492"/>
      <c r="AA279" s="492"/>
      <c r="AB279" s="493"/>
      <c r="AC279" s="494"/>
      <c r="AD279" s="486" t="s">
        <v>1228</v>
      </c>
      <c r="AE279" s="458">
        <v>45</v>
      </c>
      <c r="AI279" s="488"/>
      <c r="AJ279" s="489"/>
      <c r="AK279" s="490" t="s">
        <v>1229</v>
      </c>
    </row>
    <row r="280" spans="1:37" x14ac:dyDescent="0.25">
      <c r="A280" s="483" t="s">
        <v>830</v>
      </c>
      <c r="B280" s="484"/>
      <c r="C280" s="485"/>
      <c r="D280" s="485"/>
      <c r="E280" s="485"/>
      <c r="F280" s="485"/>
      <c r="G280" s="486"/>
      <c r="H280" s="487">
        <v>2</v>
      </c>
      <c r="I280" s="491"/>
      <c r="J280" s="492"/>
      <c r="K280" s="492"/>
      <c r="L280" s="492"/>
      <c r="M280" s="492"/>
      <c r="N280" s="493"/>
      <c r="O280" s="494"/>
      <c r="P280" s="492"/>
      <c r="Q280" s="492"/>
      <c r="R280" s="492"/>
      <c r="S280" s="492"/>
      <c r="T280" s="492"/>
      <c r="U280" s="493"/>
      <c r="V280" s="493"/>
      <c r="W280" s="491"/>
      <c r="X280" s="492"/>
      <c r="Y280" s="492"/>
      <c r="Z280" s="492"/>
      <c r="AA280" s="492"/>
      <c r="AB280" s="493"/>
      <c r="AC280" s="494"/>
      <c r="AD280" s="486" t="s">
        <v>1228</v>
      </c>
      <c r="AE280" s="458">
        <v>45</v>
      </c>
      <c r="AI280" s="488"/>
      <c r="AJ280" s="489"/>
      <c r="AK280" s="490" t="s">
        <v>1229</v>
      </c>
    </row>
    <row r="281" spans="1:37" x14ac:dyDescent="0.25">
      <c r="A281" s="483" t="s">
        <v>831</v>
      </c>
      <c r="B281" s="484"/>
      <c r="C281" s="485"/>
      <c r="D281" s="485"/>
      <c r="E281" s="485"/>
      <c r="F281" s="485"/>
      <c r="G281" s="486"/>
      <c r="H281" s="487">
        <v>2</v>
      </c>
      <c r="I281" s="491"/>
      <c r="J281" s="492"/>
      <c r="K281" s="492"/>
      <c r="L281" s="492"/>
      <c r="M281" s="492"/>
      <c r="N281" s="493"/>
      <c r="O281" s="494"/>
      <c r="P281" s="492"/>
      <c r="Q281" s="492"/>
      <c r="R281" s="492"/>
      <c r="S281" s="492"/>
      <c r="T281" s="492"/>
      <c r="U281" s="493"/>
      <c r="V281" s="493"/>
      <c r="W281" s="491"/>
      <c r="X281" s="492"/>
      <c r="Y281" s="492"/>
      <c r="Z281" s="492"/>
      <c r="AA281" s="492"/>
      <c r="AB281" s="493"/>
      <c r="AC281" s="494"/>
      <c r="AD281" s="486" t="s">
        <v>1228</v>
      </c>
      <c r="AE281" s="458">
        <v>45</v>
      </c>
      <c r="AI281" s="488"/>
      <c r="AJ281" s="489"/>
      <c r="AK281" s="490" t="s">
        <v>1229</v>
      </c>
    </row>
    <row r="282" spans="1:37" x14ac:dyDescent="0.25">
      <c r="A282" s="483"/>
      <c r="B282" s="484"/>
      <c r="C282" s="485"/>
      <c r="D282" s="485"/>
      <c r="E282" s="485"/>
      <c r="F282" s="485"/>
      <c r="G282" s="486"/>
      <c r="H282" s="487"/>
      <c r="I282" s="496"/>
      <c r="J282" s="497"/>
      <c r="K282" s="497"/>
      <c r="L282" s="497"/>
      <c r="M282" s="497"/>
      <c r="N282" s="278"/>
      <c r="O282" s="498"/>
      <c r="P282" s="497"/>
      <c r="Q282" s="497"/>
      <c r="R282" s="497"/>
      <c r="S282" s="497"/>
      <c r="T282" s="497"/>
      <c r="U282" s="278"/>
      <c r="V282" s="278"/>
      <c r="W282" s="496"/>
      <c r="X282" s="497"/>
      <c r="Y282" s="497"/>
      <c r="Z282" s="497"/>
      <c r="AA282" s="497"/>
      <c r="AB282" s="278"/>
      <c r="AC282" s="498"/>
      <c r="AD282" s="486"/>
      <c r="AE282" s="458"/>
      <c r="AI282" s="488"/>
      <c r="AJ282" s="489"/>
      <c r="AK282" s="490"/>
    </row>
    <row r="283" spans="1:37" x14ac:dyDescent="0.25">
      <c r="A283" s="483" t="s">
        <v>1230</v>
      </c>
      <c r="B283" s="484"/>
      <c r="C283" s="485"/>
      <c r="D283" s="485"/>
      <c r="E283" s="485"/>
      <c r="F283" s="485"/>
      <c r="G283" s="486" t="s">
        <v>1209</v>
      </c>
      <c r="H283" s="487">
        <v>2</v>
      </c>
      <c r="I283" s="491"/>
      <c r="J283" s="492"/>
      <c r="K283" s="492"/>
      <c r="L283" s="492"/>
      <c r="M283" s="492"/>
      <c r="N283" s="493"/>
      <c r="O283" s="494"/>
      <c r="P283" s="492"/>
      <c r="Q283" s="492"/>
      <c r="R283" s="492"/>
      <c r="S283" s="492"/>
      <c r="T283" s="492"/>
      <c r="U283" s="493"/>
      <c r="V283" s="493"/>
      <c r="W283" s="491"/>
      <c r="X283" s="492"/>
      <c r="Y283" s="492"/>
      <c r="Z283" s="492"/>
      <c r="AA283" s="492"/>
      <c r="AB283" s="493"/>
      <c r="AC283" s="494"/>
      <c r="AD283" s="486" t="s">
        <v>1231</v>
      </c>
      <c r="AE283" s="458"/>
      <c r="AI283" s="488"/>
      <c r="AJ283" s="490">
        <v>130</v>
      </c>
      <c r="AK283" s="490" t="s">
        <v>1232</v>
      </c>
    </row>
    <row r="284" spans="1:37" x14ac:dyDescent="0.25">
      <c r="A284" s="483" t="s">
        <v>1233</v>
      </c>
      <c r="B284" s="484"/>
      <c r="C284" s="485"/>
      <c r="D284" s="485"/>
      <c r="E284" s="485"/>
      <c r="F284" s="485"/>
      <c r="G284" s="486"/>
      <c r="H284" s="487">
        <v>2</v>
      </c>
      <c r="I284" s="491"/>
      <c r="J284" s="492"/>
      <c r="K284" s="492"/>
      <c r="L284" s="492"/>
      <c r="M284" s="492"/>
      <c r="N284" s="493"/>
      <c r="O284" s="494"/>
      <c r="P284" s="492"/>
      <c r="Q284" s="492"/>
      <c r="R284" s="492"/>
      <c r="S284" s="492"/>
      <c r="T284" s="492"/>
      <c r="U284" s="493"/>
      <c r="V284" s="493"/>
      <c r="W284" s="491"/>
      <c r="X284" s="492"/>
      <c r="Y284" s="492"/>
      <c r="Z284" s="492"/>
      <c r="AA284" s="492"/>
      <c r="AB284" s="493"/>
      <c r="AC284" s="494"/>
      <c r="AD284" s="486" t="s">
        <v>1231</v>
      </c>
      <c r="AE284" s="458"/>
      <c r="AI284" s="488"/>
      <c r="AJ284" s="489"/>
      <c r="AK284" s="490"/>
    </row>
    <row r="285" spans="1:37" x14ac:dyDescent="0.25">
      <c r="A285" s="483" t="s">
        <v>1234</v>
      </c>
      <c r="B285" s="484"/>
      <c r="C285" s="485"/>
      <c r="D285" s="485"/>
      <c r="E285" s="485"/>
      <c r="F285" s="485"/>
      <c r="G285" s="486"/>
      <c r="H285" s="487">
        <v>2</v>
      </c>
      <c r="I285" s="491"/>
      <c r="J285" s="492"/>
      <c r="K285" s="492"/>
      <c r="L285" s="492"/>
      <c r="M285" s="492"/>
      <c r="N285" s="493"/>
      <c r="O285" s="494"/>
      <c r="P285" s="492"/>
      <c r="Q285" s="492"/>
      <c r="R285" s="492"/>
      <c r="S285" s="492"/>
      <c r="T285" s="492"/>
      <c r="U285" s="493"/>
      <c r="V285" s="493"/>
      <c r="W285" s="491"/>
      <c r="X285" s="492"/>
      <c r="Y285" s="492"/>
      <c r="Z285" s="492"/>
      <c r="AA285" s="492"/>
      <c r="AB285" s="493"/>
      <c r="AC285" s="494"/>
      <c r="AD285" s="486" t="s">
        <v>1231</v>
      </c>
      <c r="AE285" s="458"/>
      <c r="AI285" s="488"/>
      <c r="AJ285" s="490">
        <v>130</v>
      </c>
      <c r="AK285" s="490" t="s">
        <v>1235</v>
      </c>
    </row>
    <row r="286" spans="1:37" x14ac:dyDescent="0.25">
      <c r="A286" s="483" t="s">
        <v>1236</v>
      </c>
      <c r="B286" s="484"/>
      <c r="C286" s="485"/>
      <c r="D286" s="485"/>
      <c r="E286" s="485"/>
      <c r="F286" s="485"/>
      <c r="G286" s="486"/>
      <c r="H286" s="487">
        <v>2</v>
      </c>
      <c r="I286" s="491"/>
      <c r="J286" s="492"/>
      <c r="K286" s="492"/>
      <c r="L286" s="492"/>
      <c r="M286" s="492"/>
      <c r="N286" s="493"/>
      <c r="O286" s="494"/>
      <c r="P286" s="492"/>
      <c r="Q286" s="492"/>
      <c r="R286" s="492"/>
      <c r="S286" s="492"/>
      <c r="T286" s="492"/>
      <c r="U286" s="493"/>
      <c r="V286" s="493"/>
      <c r="W286" s="491"/>
      <c r="X286" s="492"/>
      <c r="Y286" s="492"/>
      <c r="Z286" s="492"/>
      <c r="AA286" s="492"/>
      <c r="AB286" s="493"/>
      <c r="AC286" s="494"/>
      <c r="AD286" s="486" t="s">
        <v>1231</v>
      </c>
      <c r="AE286" s="458"/>
      <c r="AI286" s="488"/>
      <c r="AJ286" s="489"/>
      <c r="AK286" s="490"/>
    </row>
    <row r="287" spans="1:37" x14ac:dyDescent="0.25">
      <c r="A287" s="483" t="s">
        <v>1237</v>
      </c>
      <c r="B287" s="484"/>
      <c r="C287" s="485"/>
      <c r="D287" s="485"/>
      <c r="E287" s="485"/>
      <c r="F287" s="485"/>
      <c r="G287" s="486"/>
      <c r="H287" s="487">
        <v>2</v>
      </c>
      <c r="I287" s="491"/>
      <c r="J287" s="492"/>
      <c r="K287" s="492"/>
      <c r="L287" s="492"/>
      <c r="M287" s="492"/>
      <c r="N287" s="493"/>
      <c r="O287" s="494"/>
      <c r="P287" s="492"/>
      <c r="Q287" s="492"/>
      <c r="R287" s="492"/>
      <c r="S287" s="492"/>
      <c r="T287" s="492"/>
      <c r="U287" s="493"/>
      <c r="V287" s="493"/>
      <c r="W287" s="491"/>
      <c r="X287" s="492"/>
      <c r="Y287" s="492"/>
      <c r="Z287" s="492"/>
      <c r="AA287" s="492"/>
      <c r="AB287" s="493"/>
      <c r="AC287" s="494"/>
      <c r="AD287" s="486" t="s">
        <v>1231</v>
      </c>
      <c r="AE287" s="458"/>
      <c r="AI287" s="488"/>
      <c r="AJ287" s="489"/>
      <c r="AK287" s="490"/>
    </row>
    <row r="288" spans="1:37" x14ac:dyDescent="0.25">
      <c r="A288" s="483" t="s">
        <v>1238</v>
      </c>
      <c r="B288" s="484"/>
      <c r="C288" s="485"/>
      <c r="D288" s="485"/>
      <c r="E288" s="485"/>
      <c r="F288" s="485"/>
      <c r="G288" s="486"/>
      <c r="H288" s="487">
        <v>2</v>
      </c>
      <c r="I288" s="491"/>
      <c r="J288" s="492"/>
      <c r="K288" s="492"/>
      <c r="L288" s="492"/>
      <c r="M288" s="492"/>
      <c r="N288" s="493"/>
      <c r="O288" s="494"/>
      <c r="P288" s="492"/>
      <c r="Q288" s="492"/>
      <c r="R288" s="492"/>
      <c r="S288" s="492"/>
      <c r="T288" s="492"/>
      <c r="U288" s="493"/>
      <c r="V288" s="493"/>
      <c r="W288" s="491"/>
      <c r="X288" s="492"/>
      <c r="Y288" s="492"/>
      <c r="Z288" s="492"/>
      <c r="AA288" s="492"/>
      <c r="AB288" s="493"/>
      <c r="AC288" s="494"/>
      <c r="AD288" s="486" t="s">
        <v>1231</v>
      </c>
      <c r="AE288" s="458"/>
      <c r="AI288" s="488"/>
      <c r="AJ288" s="489"/>
      <c r="AK288" s="490"/>
    </row>
    <row r="289" spans="1:37" x14ac:dyDescent="0.25">
      <c r="A289" s="483"/>
      <c r="B289" s="484"/>
      <c r="C289" s="485"/>
      <c r="D289" s="485"/>
      <c r="E289" s="485"/>
      <c r="F289" s="485"/>
      <c r="G289" s="486"/>
      <c r="H289" s="487"/>
      <c r="I289" s="496"/>
      <c r="J289" s="497"/>
      <c r="K289" s="497"/>
      <c r="L289" s="497"/>
      <c r="M289" s="497"/>
      <c r="N289" s="278"/>
      <c r="O289" s="498"/>
      <c r="P289" s="497"/>
      <c r="Q289" s="497"/>
      <c r="R289" s="497"/>
      <c r="S289" s="497"/>
      <c r="T289" s="497"/>
      <c r="U289" s="278"/>
      <c r="V289" s="278"/>
      <c r="W289" s="496"/>
      <c r="X289" s="497"/>
      <c r="Y289" s="497"/>
      <c r="Z289" s="497"/>
      <c r="AA289" s="497"/>
      <c r="AB289" s="278"/>
      <c r="AC289" s="498"/>
      <c r="AD289" s="486"/>
      <c r="AE289" s="458"/>
      <c r="AI289" s="488"/>
      <c r="AJ289" s="489"/>
      <c r="AK289" s="490"/>
    </row>
    <row r="290" spans="1:37" x14ac:dyDescent="0.25">
      <c r="A290" s="483" t="s">
        <v>509</v>
      </c>
      <c r="B290" s="484"/>
      <c r="C290" s="485"/>
      <c r="D290" s="485"/>
      <c r="E290" s="485"/>
      <c r="F290" s="485"/>
      <c r="G290" s="486"/>
      <c r="H290" s="487">
        <v>1</v>
      </c>
      <c r="I290" s="491"/>
      <c r="J290" s="492"/>
      <c r="K290" s="492"/>
      <c r="L290" s="492"/>
      <c r="M290" s="492"/>
      <c r="N290" s="493"/>
      <c r="O290" s="494"/>
      <c r="P290" s="492"/>
      <c r="Q290" s="492"/>
      <c r="R290" s="492"/>
      <c r="S290" s="492"/>
      <c r="T290" s="492"/>
      <c r="U290" s="493"/>
      <c r="V290" s="493"/>
      <c r="W290" s="491"/>
      <c r="X290" s="492"/>
      <c r="Y290" s="492"/>
      <c r="Z290" s="492"/>
      <c r="AA290" s="492"/>
      <c r="AB290" s="493"/>
      <c r="AC290" s="494"/>
      <c r="AD290" s="486" t="s">
        <v>513</v>
      </c>
      <c r="AE290" s="458"/>
      <c r="AI290" s="488"/>
      <c r="AJ290" s="490">
        <v>160</v>
      </c>
      <c r="AK290" s="490" t="s">
        <v>1239</v>
      </c>
    </row>
    <row r="291" spans="1:37" x14ac:dyDescent="0.25">
      <c r="A291" s="483" t="s">
        <v>514</v>
      </c>
      <c r="B291" s="484"/>
      <c r="C291" s="485"/>
      <c r="D291" s="485"/>
      <c r="E291" s="485"/>
      <c r="F291" s="485"/>
      <c r="G291" s="486"/>
      <c r="H291" s="487">
        <v>1</v>
      </c>
      <c r="I291" s="491"/>
      <c r="J291" s="492"/>
      <c r="K291" s="492"/>
      <c r="L291" s="492"/>
      <c r="M291" s="492"/>
      <c r="N291" s="493"/>
      <c r="O291" s="494"/>
      <c r="P291" s="492"/>
      <c r="Q291" s="492"/>
      <c r="R291" s="492"/>
      <c r="S291" s="492"/>
      <c r="T291" s="492"/>
      <c r="U291" s="493"/>
      <c r="V291" s="493"/>
      <c r="W291" s="491"/>
      <c r="X291" s="492"/>
      <c r="Y291" s="492"/>
      <c r="Z291" s="492"/>
      <c r="AA291" s="492"/>
      <c r="AB291" s="493"/>
      <c r="AC291" s="494"/>
      <c r="AD291" s="486" t="s">
        <v>513</v>
      </c>
      <c r="AE291" s="458"/>
      <c r="AI291" s="488"/>
      <c r="AJ291" s="490">
        <v>252</v>
      </c>
      <c r="AK291" s="490" t="s">
        <v>1239</v>
      </c>
    </row>
    <row r="292" spans="1:37" x14ac:dyDescent="0.25">
      <c r="A292" s="483" t="s">
        <v>517</v>
      </c>
      <c r="B292" s="484"/>
      <c r="C292" s="485"/>
      <c r="D292" s="485"/>
      <c r="E292" s="485"/>
      <c r="F292" s="485"/>
      <c r="G292" s="486"/>
      <c r="H292" s="487">
        <v>1</v>
      </c>
      <c r="I292" s="491"/>
      <c r="J292" s="492"/>
      <c r="K292" s="492"/>
      <c r="L292" s="492"/>
      <c r="M292" s="492"/>
      <c r="N292" s="493"/>
      <c r="O292" s="494"/>
      <c r="P292" s="492"/>
      <c r="Q292" s="492"/>
      <c r="R292" s="492"/>
      <c r="S292" s="492"/>
      <c r="T292" s="492"/>
      <c r="U292" s="493"/>
      <c r="V292" s="493"/>
      <c r="W292" s="491"/>
      <c r="X292" s="492"/>
      <c r="Y292" s="492"/>
      <c r="Z292" s="492"/>
      <c r="AA292" s="492"/>
      <c r="AB292" s="493"/>
      <c r="AC292" s="494"/>
      <c r="AD292" s="486" t="s">
        <v>513</v>
      </c>
      <c r="AE292" s="458"/>
      <c r="AI292" s="488"/>
      <c r="AJ292" s="490">
        <v>253</v>
      </c>
      <c r="AK292" s="490" t="s">
        <v>1239</v>
      </c>
    </row>
    <row r="293" spans="1:37" x14ac:dyDescent="0.25">
      <c r="A293" s="483" t="s">
        <v>519</v>
      </c>
      <c r="B293" s="484"/>
      <c r="C293" s="485"/>
      <c r="D293" s="485"/>
      <c r="E293" s="485"/>
      <c r="F293" s="485"/>
      <c r="G293" s="486"/>
      <c r="H293" s="487">
        <v>1</v>
      </c>
      <c r="I293" s="491"/>
      <c r="J293" s="492"/>
      <c r="K293" s="492"/>
      <c r="L293" s="492"/>
      <c r="M293" s="492"/>
      <c r="N293" s="493"/>
      <c r="O293" s="494"/>
      <c r="P293" s="492"/>
      <c r="Q293" s="492"/>
      <c r="R293" s="492"/>
      <c r="S293" s="492"/>
      <c r="T293" s="492"/>
      <c r="U293" s="493"/>
      <c r="V293" s="493"/>
      <c r="W293" s="491"/>
      <c r="X293" s="492"/>
      <c r="Y293" s="492"/>
      <c r="Z293" s="492"/>
      <c r="AA293" s="492"/>
      <c r="AB293" s="493"/>
      <c r="AC293" s="494"/>
      <c r="AD293" s="486" t="s">
        <v>513</v>
      </c>
      <c r="AE293" s="458"/>
      <c r="AI293" s="488"/>
      <c r="AJ293" s="490">
        <v>121</v>
      </c>
      <c r="AK293" s="490" t="s">
        <v>1239</v>
      </c>
    </row>
    <row r="294" spans="1:37" x14ac:dyDescent="0.25">
      <c r="A294" s="483" t="s">
        <v>522</v>
      </c>
      <c r="B294" s="484"/>
      <c r="C294" s="485"/>
      <c r="D294" s="485"/>
      <c r="E294" s="485"/>
      <c r="F294" s="485"/>
      <c r="G294" s="486"/>
      <c r="H294" s="487">
        <v>1</v>
      </c>
      <c r="I294" s="491"/>
      <c r="J294" s="492"/>
      <c r="K294" s="492"/>
      <c r="L294" s="492"/>
      <c r="M294" s="492"/>
      <c r="N294" s="493"/>
      <c r="O294" s="494"/>
      <c r="P294" s="492"/>
      <c r="Q294" s="492"/>
      <c r="R294" s="492"/>
      <c r="S294" s="492"/>
      <c r="T294" s="492"/>
      <c r="U294" s="493"/>
      <c r="V294" s="493"/>
      <c r="W294" s="491"/>
      <c r="X294" s="492"/>
      <c r="Y294" s="492"/>
      <c r="Z294" s="492"/>
      <c r="AA294" s="492"/>
      <c r="AB294" s="493"/>
      <c r="AC294" s="494"/>
      <c r="AD294" s="486" t="s">
        <v>513</v>
      </c>
      <c r="AE294" s="458"/>
      <c r="AI294" s="488"/>
      <c r="AJ294" s="489">
        <v>254</v>
      </c>
      <c r="AK294" s="490" t="s">
        <v>1239</v>
      </c>
    </row>
    <row r="295" spans="1:37" x14ac:dyDescent="0.25">
      <c r="A295" s="483" t="s">
        <v>524</v>
      </c>
      <c r="B295" s="484"/>
      <c r="C295" s="485"/>
      <c r="D295" s="485"/>
      <c r="E295" s="485"/>
      <c r="F295" s="485"/>
      <c r="G295" s="486"/>
      <c r="H295" s="487">
        <v>1</v>
      </c>
      <c r="I295" s="491"/>
      <c r="J295" s="492"/>
      <c r="K295" s="492"/>
      <c r="L295" s="492"/>
      <c r="M295" s="492"/>
      <c r="N295" s="493"/>
      <c r="O295" s="494"/>
      <c r="P295" s="492"/>
      <c r="Q295" s="492"/>
      <c r="R295" s="492"/>
      <c r="S295" s="492"/>
      <c r="T295" s="492"/>
      <c r="U295" s="493"/>
      <c r="V295" s="493"/>
      <c r="W295" s="491"/>
      <c r="X295" s="492"/>
      <c r="Y295" s="492"/>
      <c r="Z295" s="492"/>
      <c r="AA295" s="492"/>
      <c r="AB295" s="493"/>
      <c r="AC295" s="494"/>
      <c r="AD295" s="486" t="s">
        <v>513</v>
      </c>
      <c r="AE295" s="458"/>
      <c r="AI295" s="488"/>
      <c r="AJ295" s="489"/>
      <c r="AK295" s="490" t="s">
        <v>1239</v>
      </c>
    </row>
    <row r="296" spans="1:37" x14ac:dyDescent="0.25">
      <c r="A296" s="483" t="s">
        <v>526</v>
      </c>
      <c r="B296" s="484"/>
      <c r="C296" s="485"/>
      <c r="D296" s="485"/>
      <c r="E296" s="485"/>
      <c r="F296" s="485"/>
      <c r="G296" s="486"/>
      <c r="H296" s="487">
        <v>1</v>
      </c>
      <c r="I296" s="491"/>
      <c r="J296" s="492"/>
      <c r="K296" s="492"/>
      <c r="L296" s="492"/>
      <c r="M296" s="492"/>
      <c r="N296" s="493"/>
      <c r="O296" s="494"/>
      <c r="P296" s="492"/>
      <c r="Q296" s="492"/>
      <c r="R296" s="492"/>
      <c r="S296" s="492"/>
      <c r="T296" s="492"/>
      <c r="U296" s="493"/>
      <c r="V296" s="493"/>
      <c r="W296" s="491"/>
      <c r="X296" s="492"/>
      <c r="Y296" s="492"/>
      <c r="Z296" s="492"/>
      <c r="AA296" s="492"/>
      <c r="AB296" s="493"/>
      <c r="AC296" s="494"/>
      <c r="AD296" s="486" t="s">
        <v>513</v>
      </c>
      <c r="AE296" s="458"/>
      <c r="AI296" s="488"/>
      <c r="AJ296" s="490">
        <v>255</v>
      </c>
      <c r="AK296" s="490" t="s">
        <v>1239</v>
      </c>
    </row>
    <row r="297" spans="1:37" x14ac:dyDescent="0.25">
      <c r="A297" s="483"/>
      <c r="B297" s="484"/>
      <c r="C297" s="485"/>
      <c r="D297" s="485"/>
      <c r="E297" s="485"/>
      <c r="F297" s="485"/>
      <c r="G297" s="486"/>
      <c r="H297" s="487"/>
      <c r="I297" s="484"/>
      <c r="J297" s="485"/>
      <c r="K297" s="485"/>
      <c r="L297" s="485"/>
      <c r="M297" s="485"/>
      <c r="N297" s="486"/>
      <c r="O297" s="487"/>
      <c r="P297" s="485"/>
      <c r="Q297" s="485"/>
      <c r="R297" s="485"/>
      <c r="S297" s="485"/>
      <c r="T297" s="485"/>
      <c r="U297" s="486"/>
      <c r="V297" s="486"/>
      <c r="W297" s="484"/>
      <c r="X297" s="485"/>
      <c r="Y297" s="485"/>
      <c r="Z297" s="485"/>
      <c r="AA297" s="485"/>
      <c r="AB297" s="486"/>
      <c r="AC297" s="487"/>
      <c r="AD297" s="486"/>
      <c r="AE297" s="458" t="str">
        <f>IF(G297="S",30,IF(G297="M",45,IF(G297="L",60,"")))</f>
        <v/>
      </c>
      <c r="AI297" s="488"/>
      <c r="AJ297" s="489"/>
      <c r="AK297" s="490"/>
    </row>
    <row r="298" spans="1:37" x14ac:dyDescent="0.25">
      <c r="A298" s="483" t="s">
        <v>529</v>
      </c>
      <c r="B298" s="484"/>
      <c r="C298" s="485"/>
      <c r="D298" s="485"/>
      <c r="E298" s="485"/>
      <c r="F298" s="485"/>
      <c r="G298" s="486"/>
      <c r="H298" s="487">
        <v>1</v>
      </c>
      <c r="I298" s="491"/>
      <c r="J298" s="492"/>
      <c r="K298" s="492"/>
      <c r="L298" s="492"/>
      <c r="M298" s="492"/>
      <c r="N298" s="493"/>
      <c r="O298" s="494"/>
      <c r="P298" s="492"/>
      <c r="Q298" s="492"/>
      <c r="R298" s="492"/>
      <c r="S298" s="492"/>
      <c r="T298" s="492"/>
      <c r="U298" s="493"/>
      <c r="V298" s="493"/>
      <c r="W298" s="491"/>
      <c r="X298" s="492"/>
      <c r="Y298" s="492"/>
      <c r="Z298" s="492"/>
      <c r="AA298" s="492"/>
      <c r="AB298" s="493"/>
      <c r="AC298" s="494"/>
      <c r="AD298" s="486" t="s">
        <v>1240</v>
      </c>
      <c r="AE298" s="458"/>
      <c r="AI298" s="488"/>
      <c r="AJ298" s="490">
        <v>160</v>
      </c>
      <c r="AK298" s="490" t="s">
        <v>1241</v>
      </c>
    </row>
    <row r="299" spans="1:37" x14ac:dyDescent="0.25">
      <c r="A299" s="483" t="s">
        <v>531</v>
      </c>
      <c r="B299" s="484"/>
      <c r="C299" s="485"/>
      <c r="D299" s="485"/>
      <c r="E299" s="485"/>
      <c r="F299" s="485"/>
      <c r="G299" s="486"/>
      <c r="H299" s="487">
        <v>1</v>
      </c>
      <c r="I299" s="491"/>
      <c r="J299" s="492"/>
      <c r="K299" s="492"/>
      <c r="L299" s="492"/>
      <c r="M299" s="492"/>
      <c r="N299" s="493"/>
      <c r="O299" s="494"/>
      <c r="P299" s="492"/>
      <c r="Q299" s="492"/>
      <c r="R299" s="492"/>
      <c r="S299" s="492"/>
      <c r="T299" s="492"/>
      <c r="U299" s="493"/>
      <c r="V299" s="493"/>
      <c r="W299" s="491"/>
      <c r="X299" s="492"/>
      <c r="Y299" s="492"/>
      <c r="Z299" s="492"/>
      <c r="AA299" s="492"/>
      <c r="AB299" s="493"/>
      <c r="AC299" s="494"/>
      <c r="AD299" s="486" t="s">
        <v>1240</v>
      </c>
      <c r="AE299" s="458"/>
      <c r="AI299" s="488"/>
      <c r="AJ299" s="490">
        <v>252</v>
      </c>
      <c r="AK299" s="490" t="s">
        <v>1241</v>
      </c>
    </row>
    <row r="300" spans="1:37" x14ac:dyDescent="0.25">
      <c r="A300" s="483" t="s">
        <v>532</v>
      </c>
      <c r="B300" s="484"/>
      <c r="C300" s="485"/>
      <c r="D300" s="485"/>
      <c r="E300" s="485"/>
      <c r="F300" s="485"/>
      <c r="G300" s="486"/>
      <c r="H300" s="487">
        <v>1</v>
      </c>
      <c r="I300" s="491"/>
      <c r="J300" s="492"/>
      <c r="K300" s="492"/>
      <c r="L300" s="492"/>
      <c r="M300" s="492"/>
      <c r="N300" s="493"/>
      <c r="O300" s="494"/>
      <c r="P300" s="492"/>
      <c r="Q300" s="492"/>
      <c r="R300" s="492"/>
      <c r="S300" s="492"/>
      <c r="T300" s="492"/>
      <c r="U300" s="493"/>
      <c r="V300" s="493"/>
      <c r="W300" s="491"/>
      <c r="X300" s="492"/>
      <c r="Y300" s="492"/>
      <c r="Z300" s="492"/>
      <c r="AA300" s="492"/>
      <c r="AB300" s="493"/>
      <c r="AC300" s="494"/>
      <c r="AD300" s="486" t="s">
        <v>1240</v>
      </c>
      <c r="AE300" s="458"/>
      <c r="AI300" s="488"/>
      <c r="AJ300" s="490">
        <v>253</v>
      </c>
      <c r="AK300" s="490" t="s">
        <v>1241</v>
      </c>
    </row>
    <row r="301" spans="1:37" x14ac:dyDescent="0.25">
      <c r="A301" s="483" t="s">
        <v>533</v>
      </c>
      <c r="B301" s="484"/>
      <c r="C301" s="485"/>
      <c r="D301" s="485"/>
      <c r="E301" s="485"/>
      <c r="F301" s="485"/>
      <c r="G301" s="486"/>
      <c r="H301" s="487">
        <v>1</v>
      </c>
      <c r="I301" s="491"/>
      <c r="J301" s="492"/>
      <c r="K301" s="492"/>
      <c r="L301" s="492"/>
      <c r="M301" s="492"/>
      <c r="N301" s="493"/>
      <c r="O301" s="494"/>
      <c r="P301" s="492"/>
      <c r="Q301" s="492"/>
      <c r="R301" s="492"/>
      <c r="S301" s="492"/>
      <c r="T301" s="492"/>
      <c r="U301" s="493"/>
      <c r="V301" s="493"/>
      <c r="W301" s="491"/>
      <c r="X301" s="492"/>
      <c r="Y301" s="492"/>
      <c r="Z301" s="492"/>
      <c r="AA301" s="492"/>
      <c r="AB301" s="493"/>
      <c r="AC301" s="494"/>
      <c r="AD301" s="486" t="s">
        <v>1240</v>
      </c>
      <c r="AE301" s="458"/>
      <c r="AI301" s="488"/>
      <c r="AJ301" s="490">
        <v>121</v>
      </c>
      <c r="AK301" s="490" t="s">
        <v>1241</v>
      </c>
    </row>
    <row r="302" spans="1:37" x14ac:dyDescent="0.25">
      <c r="A302" s="483" t="s">
        <v>535</v>
      </c>
      <c r="B302" s="484"/>
      <c r="C302" s="485"/>
      <c r="D302" s="485"/>
      <c r="E302" s="485"/>
      <c r="F302" s="485"/>
      <c r="G302" s="486"/>
      <c r="H302" s="487">
        <v>1</v>
      </c>
      <c r="I302" s="491"/>
      <c r="J302" s="492"/>
      <c r="K302" s="492"/>
      <c r="L302" s="492"/>
      <c r="M302" s="492"/>
      <c r="N302" s="493"/>
      <c r="O302" s="494"/>
      <c r="P302" s="492"/>
      <c r="Q302" s="492"/>
      <c r="R302" s="492"/>
      <c r="S302" s="492"/>
      <c r="T302" s="492"/>
      <c r="U302" s="493"/>
      <c r="V302" s="493"/>
      <c r="W302" s="491"/>
      <c r="X302" s="492"/>
      <c r="Y302" s="492"/>
      <c r="Z302" s="492"/>
      <c r="AA302" s="492"/>
      <c r="AB302" s="493"/>
      <c r="AC302" s="494"/>
      <c r="AD302" s="486" t="s">
        <v>1240</v>
      </c>
      <c r="AE302" s="458"/>
      <c r="AI302" s="488"/>
      <c r="AJ302" s="489">
        <v>254</v>
      </c>
      <c r="AK302" s="490" t="s">
        <v>1241</v>
      </c>
    </row>
    <row r="303" spans="1:37" x14ac:dyDescent="0.25">
      <c r="A303" s="483" t="s">
        <v>536</v>
      </c>
      <c r="B303" s="484"/>
      <c r="C303" s="485"/>
      <c r="D303" s="485"/>
      <c r="E303" s="485"/>
      <c r="F303" s="485"/>
      <c r="G303" s="486"/>
      <c r="H303" s="487">
        <v>1</v>
      </c>
      <c r="I303" s="491"/>
      <c r="J303" s="492"/>
      <c r="K303" s="492"/>
      <c r="L303" s="492"/>
      <c r="M303" s="492"/>
      <c r="N303" s="493"/>
      <c r="O303" s="494"/>
      <c r="P303" s="492"/>
      <c r="Q303" s="492"/>
      <c r="R303" s="492"/>
      <c r="S303" s="492"/>
      <c r="T303" s="492"/>
      <c r="U303" s="493"/>
      <c r="V303" s="493"/>
      <c r="W303" s="491"/>
      <c r="X303" s="492"/>
      <c r="Y303" s="492"/>
      <c r="Z303" s="492"/>
      <c r="AA303" s="492"/>
      <c r="AB303" s="493"/>
      <c r="AC303" s="494"/>
      <c r="AD303" s="486" t="s">
        <v>1240</v>
      </c>
      <c r="AE303" s="458"/>
      <c r="AI303" s="488"/>
      <c r="AJ303" s="489"/>
      <c r="AK303" s="490" t="s">
        <v>1241</v>
      </c>
    </row>
    <row r="304" spans="1:37" x14ac:dyDescent="0.25">
      <c r="A304" s="483" t="s">
        <v>537</v>
      </c>
      <c r="B304" s="484"/>
      <c r="C304" s="485"/>
      <c r="D304" s="485"/>
      <c r="E304" s="485"/>
      <c r="F304" s="485"/>
      <c r="G304" s="486"/>
      <c r="H304" s="487">
        <v>1</v>
      </c>
      <c r="I304" s="491"/>
      <c r="J304" s="492"/>
      <c r="K304" s="492"/>
      <c r="L304" s="492"/>
      <c r="M304" s="492"/>
      <c r="N304" s="493"/>
      <c r="O304" s="494"/>
      <c r="P304" s="492"/>
      <c r="Q304" s="492"/>
      <c r="R304" s="492"/>
      <c r="S304" s="492"/>
      <c r="T304" s="492"/>
      <c r="U304" s="493"/>
      <c r="V304" s="493"/>
      <c r="W304" s="491"/>
      <c r="X304" s="492"/>
      <c r="Y304" s="492"/>
      <c r="Z304" s="492"/>
      <c r="AA304" s="492"/>
      <c r="AB304" s="493"/>
      <c r="AC304" s="494"/>
      <c r="AD304" s="486" t="s">
        <v>1240</v>
      </c>
      <c r="AE304" s="458"/>
      <c r="AI304" s="488"/>
      <c r="AJ304" s="490">
        <v>255</v>
      </c>
      <c r="AK304" s="490" t="s">
        <v>1241</v>
      </c>
    </row>
    <row r="305" spans="1:37" x14ac:dyDescent="0.25">
      <c r="A305" s="483"/>
      <c r="B305" s="484"/>
      <c r="C305" s="485"/>
      <c r="D305" s="485"/>
      <c r="E305" s="485"/>
      <c r="F305" s="485"/>
      <c r="G305" s="486"/>
      <c r="H305" s="487"/>
      <c r="I305" s="484"/>
      <c r="J305" s="485"/>
      <c r="K305" s="485"/>
      <c r="L305" s="485"/>
      <c r="M305" s="485"/>
      <c r="N305" s="486"/>
      <c r="O305" s="487"/>
      <c r="P305" s="485"/>
      <c r="Q305" s="485"/>
      <c r="R305" s="485"/>
      <c r="S305" s="485"/>
      <c r="T305" s="485"/>
      <c r="U305" s="486"/>
      <c r="V305" s="486"/>
      <c r="W305" s="484"/>
      <c r="X305" s="485"/>
      <c r="Y305" s="485"/>
      <c r="Z305" s="485"/>
      <c r="AA305" s="485"/>
      <c r="AB305" s="486"/>
      <c r="AC305" s="487"/>
      <c r="AD305" s="486"/>
      <c r="AE305" s="458"/>
      <c r="AI305" s="488"/>
      <c r="AJ305" s="490"/>
      <c r="AK305" s="490"/>
    </row>
    <row r="306" spans="1:37" x14ac:dyDescent="0.25">
      <c r="A306" s="483" t="s">
        <v>541</v>
      </c>
      <c r="B306" s="484" t="s">
        <v>66</v>
      </c>
      <c r="C306" s="485"/>
      <c r="D306" s="485" t="s">
        <v>66</v>
      </c>
      <c r="E306" s="485" t="s">
        <v>66</v>
      </c>
      <c r="F306" s="485"/>
      <c r="G306" s="486" t="s">
        <v>1210</v>
      </c>
      <c r="H306" s="487">
        <v>1</v>
      </c>
      <c r="I306" s="484" t="s">
        <v>66</v>
      </c>
      <c r="J306" s="485"/>
      <c r="K306" s="485" t="s">
        <v>66</v>
      </c>
      <c r="L306" s="485" t="s">
        <v>66</v>
      </c>
      <c r="M306" s="485"/>
      <c r="N306" s="486" t="s">
        <v>1205</v>
      </c>
      <c r="O306" s="487">
        <v>1</v>
      </c>
      <c r="P306" s="492"/>
      <c r="Q306" s="492"/>
      <c r="R306" s="492"/>
      <c r="S306" s="492"/>
      <c r="T306" s="492"/>
      <c r="U306" s="493"/>
      <c r="V306" s="493"/>
      <c r="W306" s="491"/>
      <c r="X306" s="492"/>
      <c r="Y306" s="492"/>
      <c r="Z306" s="492"/>
      <c r="AA306" s="492"/>
      <c r="AB306" s="493"/>
      <c r="AC306" s="494"/>
      <c r="AD306" s="486" t="s">
        <v>877</v>
      </c>
      <c r="AE306" s="458">
        <v>25</v>
      </c>
      <c r="AF306">
        <v>30</v>
      </c>
      <c r="AI306" s="488"/>
      <c r="AJ306" s="490">
        <v>127</v>
      </c>
      <c r="AK306" s="490" t="s">
        <v>1207</v>
      </c>
    </row>
    <row r="307" spans="1:37" x14ac:dyDescent="0.25">
      <c r="A307" s="483" t="s">
        <v>543</v>
      </c>
      <c r="B307" s="484"/>
      <c r="C307" s="485"/>
      <c r="D307" s="485"/>
      <c r="E307" s="485"/>
      <c r="F307" s="485"/>
      <c r="G307" s="486" t="s">
        <v>1212</v>
      </c>
      <c r="H307" s="487">
        <v>2</v>
      </c>
      <c r="I307" s="484"/>
      <c r="J307" s="485"/>
      <c r="K307" s="485"/>
      <c r="L307" s="485"/>
      <c r="M307" s="485"/>
      <c r="N307" s="486"/>
      <c r="O307" s="487"/>
      <c r="P307" s="492"/>
      <c r="Q307" s="492"/>
      <c r="R307" s="492"/>
      <c r="S307" s="492"/>
      <c r="T307" s="492"/>
      <c r="U307" s="493"/>
      <c r="V307" s="493"/>
      <c r="W307" s="491"/>
      <c r="X307" s="492"/>
      <c r="Y307" s="492"/>
      <c r="Z307" s="492"/>
      <c r="AA307" s="492"/>
      <c r="AB307" s="493"/>
      <c r="AC307" s="494"/>
      <c r="AD307" s="486" t="s">
        <v>877</v>
      </c>
      <c r="AE307" s="458">
        <v>25</v>
      </c>
      <c r="AF307">
        <v>30</v>
      </c>
      <c r="AI307" s="488"/>
      <c r="AJ307" s="489"/>
      <c r="AK307" s="490" t="s">
        <v>1207</v>
      </c>
    </row>
    <row r="308" spans="1:37" x14ac:dyDescent="0.25">
      <c r="A308" s="483" t="s">
        <v>544</v>
      </c>
      <c r="B308" s="484"/>
      <c r="C308" s="485"/>
      <c r="D308" s="485"/>
      <c r="E308" s="485"/>
      <c r="F308" s="485"/>
      <c r="G308" s="486" t="s">
        <v>1212</v>
      </c>
      <c r="H308" s="487">
        <v>2</v>
      </c>
      <c r="I308" s="484"/>
      <c r="J308" s="485"/>
      <c r="K308" s="485"/>
      <c r="L308" s="485"/>
      <c r="M308" s="485"/>
      <c r="N308" s="486" t="s">
        <v>1210</v>
      </c>
      <c r="O308" s="487">
        <v>2</v>
      </c>
      <c r="P308" s="492"/>
      <c r="Q308" s="492"/>
      <c r="R308" s="492"/>
      <c r="S308" s="492"/>
      <c r="T308" s="492"/>
      <c r="U308" s="493"/>
      <c r="V308" s="493"/>
      <c r="W308" s="491"/>
      <c r="X308" s="492"/>
      <c r="Y308" s="492"/>
      <c r="Z308" s="492"/>
      <c r="AA308" s="492"/>
      <c r="AB308" s="493"/>
      <c r="AC308" s="494"/>
      <c r="AD308" s="486" t="s">
        <v>877</v>
      </c>
      <c r="AE308" s="458">
        <v>25</v>
      </c>
      <c r="AF308">
        <v>30</v>
      </c>
      <c r="AI308" s="488"/>
      <c r="AJ308" s="490">
        <v>118</v>
      </c>
      <c r="AK308" s="490" t="s">
        <v>1207</v>
      </c>
    </row>
    <row r="309" spans="1:37" x14ac:dyDescent="0.25">
      <c r="A309" s="483" t="s">
        <v>547</v>
      </c>
      <c r="B309" s="484"/>
      <c r="C309" s="485"/>
      <c r="D309" s="485"/>
      <c r="E309" s="485"/>
      <c r="F309" s="485"/>
      <c r="G309" s="486" t="s">
        <v>1210</v>
      </c>
      <c r="H309" s="487">
        <v>2</v>
      </c>
      <c r="I309" s="484"/>
      <c r="J309" s="485"/>
      <c r="K309" s="485"/>
      <c r="L309" s="485"/>
      <c r="M309" s="485"/>
      <c r="N309" s="486" t="s">
        <v>1210</v>
      </c>
      <c r="O309" s="487">
        <v>2</v>
      </c>
      <c r="P309" s="492"/>
      <c r="Q309" s="492"/>
      <c r="R309" s="492"/>
      <c r="S309" s="492"/>
      <c r="T309" s="492"/>
      <c r="U309" s="493"/>
      <c r="V309" s="493"/>
      <c r="W309" s="491"/>
      <c r="X309" s="492"/>
      <c r="Y309" s="492"/>
      <c r="Z309" s="492"/>
      <c r="AA309" s="492"/>
      <c r="AB309" s="493"/>
      <c r="AC309" s="494"/>
      <c r="AD309" s="486" t="s">
        <v>877</v>
      </c>
      <c r="AE309" s="458">
        <v>25</v>
      </c>
      <c r="AF309">
        <v>30</v>
      </c>
      <c r="AI309" s="488">
        <v>200</v>
      </c>
      <c r="AJ309" s="490">
        <v>119</v>
      </c>
      <c r="AK309" s="490" t="s">
        <v>1207</v>
      </c>
    </row>
    <row r="310" spans="1:37" x14ac:dyDescent="0.25">
      <c r="A310" s="483" t="s">
        <v>550</v>
      </c>
      <c r="B310" s="484"/>
      <c r="C310" s="485"/>
      <c r="D310" s="485"/>
      <c r="E310" s="485"/>
      <c r="F310" s="485"/>
      <c r="G310" s="486" t="s">
        <v>1205</v>
      </c>
      <c r="H310" s="487">
        <v>1</v>
      </c>
      <c r="I310" s="484"/>
      <c r="J310" s="485"/>
      <c r="K310" s="485"/>
      <c r="L310" s="485"/>
      <c r="M310" s="485"/>
      <c r="N310" s="486" t="s">
        <v>1205</v>
      </c>
      <c r="O310" s="487">
        <v>1</v>
      </c>
      <c r="P310" s="492"/>
      <c r="Q310" s="492"/>
      <c r="R310" s="492"/>
      <c r="S310" s="492"/>
      <c r="T310" s="492"/>
      <c r="U310" s="493"/>
      <c r="V310" s="493"/>
      <c r="W310" s="491"/>
      <c r="X310" s="492"/>
      <c r="Y310" s="492"/>
      <c r="Z310" s="492"/>
      <c r="AA310" s="492"/>
      <c r="AB310" s="493"/>
      <c r="AC310" s="494"/>
      <c r="AD310" s="486" t="s">
        <v>877</v>
      </c>
      <c r="AE310" s="458">
        <v>25</v>
      </c>
      <c r="AF310">
        <v>30</v>
      </c>
      <c r="AI310" s="488">
        <v>300</v>
      </c>
      <c r="AJ310" s="490">
        <v>120</v>
      </c>
      <c r="AK310" s="490" t="s">
        <v>1207</v>
      </c>
    </row>
    <row r="311" spans="1:37" x14ac:dyDescent="0.25">
      <c r="A311" s="483" t="s">
        <v>553</v>
      </c>
      <c r="B311" s="484" t="s">
        <v>66</v>
      </c>
      <c r="C311" s="485"/>
      <c r="D311" s="485" t="s">
        <v>66</v>
      </c>
      <c r="E311" s="485" t="s">
        <v>66</v>
      </c>
      <c r="F311" s="485"/>
      <c r="G311" s="486" t="s">
        <v>1212</v>
      </c>
      <c r="H311" s="487">
        <v>1</v>
      </c>
      <c r="I311" s="484" t="s">
        <v>66</v>
      </c>
      <c r="J311" s="485"/>
      <c r="K311" s="485" t="s">
        <v>66</v>
      </c>
      <c r="L311" s="485" t="s">
        <v>66</v>
      </c>
      <c r="M311" s="485"/>
      <c r="N311" s="486" t="s">
        <v>1210</v>
      </c>
      <c r="O311" s="487">
        <v>1</v>
      </c>
      <c r="P311" s="492"/>
      <c r="Q311" s="492"/>
      <c r="R311" s="492"/>
      <c r="S311" s="492"/>
      <c r="T311" s="492"/>
      <c r="U311" s="493"/>
      <c r="V311" s="493"/>
      <c r="W311" s="491"/>
      <c r="X311" s="492"/>
      <c r="Y311" s="492"/>
      <c r="Z311" s="492"/>
      <c r="AA311" s="492"/>
      <c r="AB311" s="493"/>
      <c r="AC311" s="494"/>
      <c r="AD311" s="486" t="s">
        <v>877</v>
      </c>
      <c r="AE311" s="458">
        <v>25</v>
      </c>
      <c r="AF311">
        <v>30</v>
      </c>
      <c r="AI311" s="488">
        <v>200</v>
      </c>
      <c r="AJ311" s="490">
        <v>121</v>
      </c>
      <c r="AK311" s="490" t="s">
        <v>1207</v>
      </c>
    </row>
    <row r="312" spans="1:37" x14ac:dyDescent="0.25">
      <c r="A312" s="483" t="s">
        <v>555</v>
      </c>
      <c r="B312" s="484"/>
      <c r="C312" s="485"/>
      <c r="D312" s="485"/>
      <c r="E312" s="485"/>
      <c r="F312" s="485"/>
      <c r="G312" s="486" t="s">
        <v>1210</v>
      </c>
      <c r="H312" s="487">
        <v>2</v>
      </c>
      <c r="I312" s="484"/>
      <c r="J312" s="485"/>
      <c r="K312" s="485"/>
      <c r="L312" s="485"/>
      <c r="M312" s="485"/>
      <c r="N312" s="486" t="s">
        <v>1210</v>
      </c>
      <c r="O312" s="487">
        <v>2</v>
      </c>
      <c r="P312" s="492"/>
      <c r="Q312" s="492"/>
      <c r="R312" s="492"/>
      <c r="S312" s="492"/>
      <c r="T312" s="492"/>
      <c r="U312" s="493"/>
      <c r="V312" s="493"/>
      <c r="W312" s="491"/>
      <c r="X312" s="492"/>
      <c r="Y312" s="492"/>
      <c r="Z312" s="492"/>
      <c r="AA312" s="492"/>
      <c r="AB312" s="493"/>
      <c r="AC312" s="494"/>
      <c r="AD312" s="486" t="s">
        <v>877</v>
      </c>
      <c r="AE312" s="458">
        <v>25</v>
      </c>
      <c r="AF312">
        <v>30</v>
      </c>
      <c r="AI312" s="488"/>
      <c r="AJ312" s="490">
        <v>122</v>
      </c>
      <c r="AK312" s="490" t="s">
        <v>1207</v>
      </c>
    </row>
    <row r="313" spans="1:37" x14ac:dyDescent="0.25">
      <c r="A313" s="483" t="s">
        <v>558</v>
      </c>
      <c r="B313" s="484"/>
      <c r="C313" s="485"/>
      <c r="D313" s="485"/>
      <c r="E313" s="485"/>
      <c r="F313" s="485"/>
      <c r="G313" s="486"/>
      <c r="H313" s="487">
        <v>2</v>
      </c>
      <c r="I313" s="484"/>
      <c r="J313" s="485"/>
      <c r="K313" s="485"/>
      <c r="L313" s="485"/>
      <c r="M313" s="485"/>
      <c r="N313" s="486"/>
      <c r="O313" s="487"/>
      <c r="P313" s="492"/>
      <c r="Q313" s="492"/>
      <c r="R313" s="492"/>
      <c r="S313" s="492"/>
      <c r="T313" s="492"/>
      <c r="U313" s="493"/>
      <c r="V313" s="493"/>
      <c r="W313" s="491"/>
      <c r="X313" s="492"/>
      <c r="Y313" s="492"/>
      <c r="Z313" s="492"/>
      <c r="AA313" s="492"/>
      <c r="AB313" s="493"/>
      <c r="AC313" s="494"/>
      <c r="AD313" s="486" t="s">
        <v>877</v>
      </c>
      <c r="AE313" s="458">
        <v>25</v>
      </c>
      <c r="AF313">
        <v>30</v>
      </c>
      <c r="AI313" s="488"/>
      <c r="AJ313" s="489"/>
      <c r="AK313" s="490" t="s">
        <v>1207</v>
      </c>
    </row>
    <row r="314" spans="1:37" x14ac:dyDescent="0.25">
      <c r="A314" s="483" t="s">
        <v>1310</v>
      </c>
      <c r="B314" s="484"/>
      <c r="C314" s="485"/>
      <c r="D314" s="485"/>
      <c r="E314" s="485"/>
      <c r="F314" s="485"/>
      <c r="G314" s="486" t="s">
        <v>1210</v>
      </c>
      <c r="H314" s="487">
        <v>2</v>
      </c>
      <c r="I314" s="484"/>
      <c r="J314" s="485"/>
      <c r="K314" s="485"/>
      <c r="L314" s="485"/>
      <c r="M314" s="485"/>
      <c r="N314" s="486"/>
      <c r="O314" s="487"/>
      <c r="P314" s="492"/>
      <c r="Q314" s="492"/>
      <c r="R314" s="492"/>
      <c r="S314" s="492"/>
      <c r="T314" s="492"/>
      <c r="U314" s="493"/>
      <c r="V314" s="493"/>
      <c r="W314" s="491"/>
      <c r="X314" s="492"/>
      <c r="Y314" s="492"/>
      <c r="Z314" s="492"/>
      <c r="AA314" s="492"/>
      <c r="AB314" s="493"/>
      <c r="AC314" s="494"/>
      <c r="AD314" s="486" t="s">
        <v>877</v>
      </c>
      <c r="AE314" s="458">
        <v>25</v>
      </c>
      <c r="AF314">
        <v>30</v>
      </c>
      <c r="AI314" s="488"/>
      <c r="AJ314" s="489"/>
      <c r="AK314" s="490" t="s">
        <v>1207</v>
      </c>
    </row>
    <row r="315" spans="1:37" x14ac:dyDescent="0.25">
      <c r="A315" s="483" t="s">
        <v>561</v>
      </c>
      <c r="B315" s="484" t="s">
        <v>66</v>
      </c>
      <c r="C315" s="485"/>
      <c r="D315" s="485" t="s">
        <v>66</v>
      </c>
      <c r="E315" s="485"/>
      <c r="F315" s="485"/>
      <c r="G315" s="486" t="s">
        <v>1210</v>
      </c>
      <c r="H315" s="487">
        <v>1</v>
      </c>
      <c r="I315" s="484"/>
      <c r="J315" s="485"/>
      <c r="K315" s="485"/>
      <c r="L315" s="485"/>
      <c r="M315" s="485"/>
      <c r="N315" s="486" t="s">
        <v>1210</v>
      </c>
      <c r="O315" s="487">
        <v>1</v>
      </c>
      <c r="P315" s="492"/>
      <c r="Q315" s="492"/>
      <c r="R315" s="492"/>
      <c r="S315" s="492"/>
      <c r="T315" s="492"/>
      <c r="U315" s="493"/>
      <c r="V315" s="493"/>
      <c r="W315" s="491"/>
      <c r="X315" s="492"/>
      <c r="Y315" s="492"/>
      <c r="Z315" s="492"/>
      <c r="AA315" s="492"/>
      <c r="AB315" s="493"/>
      <c r="AC315" s="494"/>
      <c r="AD315" s="486" t="s">
        <v>877</v>
      </c>
      <c r="AE315" s="458">
        <v>25</v>
      </c>
      <c r="AF315">
        <v>30</v>
      </c>
      <c r="AI315" s="488">
        <v>300</v>
      </c>
      <c r="AJ315" s="490">
        <v>123</v>
      </c>
      <c r="AK315" s="490" t="s">
        <v>1207</v>
      </c>
    </row>
    <row r="316" spans="1:37" x14ac:dyDescent="0.25">
      <c r="A316" s="483" t="s">
        <v>564</v>
      </c>
      <c r="B316" s="484" t="s">
        <v>66</v>
      </c>
      <c r="C316" s="485"/>
      <c r="D316" s="485" t="s">
        <v>66</v>
      </c>
      <c r="E316" s="485"/>
      <c r="F316" s="485"/>
      <c r="G316" s="486" t="s">
        <v>1210</v>
      </c>
      <c r="H316" s="487">
        <v>2</v>
      </c>
      <c r="I316" s="484" t="s">
        <v>66</v>
      </c>
      <c r="J316" s="485"/>
      <c r="K316" s="485" t="s">
        <v>66</v>
      </c>
      <c r="L316" s="485"/>
      <c r="M316" s="485"/>
      <c r="N316" s="486" t="s">
        <v>1208</v>
      </c>
      <c r="O316" s="487">
        <v>2</v>
      </c>
      <c r="P316" s="492"/>
      <c r="Q316" s="492"/>
      <c r="R316" s="492"/>
      <c r="S316" s="492"/>
      <c r="T316" s="492"/>
      <c r="U316" s="493"/>
      <c r="V316" s="493"/>
      <c r="W316" s="491"/>
      <c r="X316" s="492"/>
      <c r="Y316" s="492"/>
      <c r="Z316" s="492"/>
      <c r="AA316" s="492"/>
      <c r="AB316" s="493"/>
      <c r="AC316" s="494"/>
      <c r="AD316" s="486" t="s">
        <v>877</v>
      </c>
      <c r="AE316" s="458">
        <v>25</v>
      </c>
      <c r="AF316">
        <v>30</v>
      </c>
      <c r="AI316" s="488">
        <v>200</v>
      </c>
      <c r="AJ316" s="489"/>
      <c r="AK316" s="490" t="s">
        <v>1207</v>
      </c>
    </row>
    <row r="317" spans="1:37" x14ac:dyDescent="0.25">
      <c r="A317" s="483" t="s">
        <v>567</v>
      </c>
      <c r="B317" s="484" t="s">
        <v>66</v>
      </c>
      <c r="C317" s="485"/>
      <c r="D317" s="485" t="s">
        <v>66</v>
      </c>
      <c r="E317" s="485"/>
      <c r="F317" s="485"/>
      <c r="G317" s="486" t="s">
        <v>1210</v>
      </c>
      <c r="H317" s="487">
        <v>2</v>
      </c>
      <c r="I317" s="484" t="s">
        <v>66</v>
      </c>
      <c r="J317" s="485"/>
      <c r="K317" s="485"/>
      <c r="L317" s="485"/>
      <c r="M317" s="485"/>
      <c r="N317" s="486" t="s">
        <v>1212</v>
      </c>
      <c r="O317" s="487">
        <v>2</v>
      </c>
      <c r="P317" s="492"/>
      <c r="Q317" s="492"/>
      <c r="R317" s="492"/>
      <c r="S317" s="492"/>
      <c r="T317" s="492"/>
      <c r="U317" s="493"/>
      <c r="V317" s="493"/>
      <c r="W317" s="491"/>
      <c r="X317" s="492"/>
      <c r="Y317" s="492"/>
      <c r="Z317" s="492"/>
      <c r="AA317" s="492"/>
      <c r="AB317" s="493"/>
      <c r="AC317" s="494"/>
      <c r="AD317" s="486" t="s">
        <v>877</v>
      </c>
      <c r="AE317" s="458">
        <v>25</v>
      </c>
      <c r="AF317">
        <v>30</v>
      </c>
      <c r="AI317" s="488"/>
      <c r="AJ317" s="489"/>
      <c r="AK317" s="490" t="s">
        <v>1207</v>
      </c>
    </row>
    <row r="318" spans="1:37" x14ac:dyDescent="0.25">
      <c r="A318" s="483" t="s">
        <v>571</v>
      </c>
      <c r="B318" s="484" t="s">
        <v>66</v>
      </c>
      <c r="C318" s="485"/>
      <c r="D318" s="485" t="s">
        <v>66</v>
      </c>
      <c r="E318" s="485"/>
      <c r="F318" s="485"/>
      <c r="G318" s="486" t="s">
        <v>1210</v>
      </c>
      <c r="H318" s="487">
        <v>2</v>
      </c>
      <c r="I318" s="484"/>
      <c r="J318" s="485"/>
      <c r="K318" s="485"/>
      <c r="L318" s="485"/>
      <c r="M318" s="485"/>
      <c r="N318" s="486" t="s">
        <v>1210</v>
      </c>
      <c r="O318" s="487">
        <v>2</v>
      </c>
      <c r="P318" s="492"/>
      <c r="Q318" s="492"/>
      <c r="R318" s="492"/>
      <c r="S318" s="492"/>
      <c r="T318" s="492"/>
      <c r="U318" s="493"/>
      <c r="V318" s="493"/>
      <c r="W318" s="491"/>
      <c r="X318" s="492"/>
      <c r="Y318" s="492"/>
      <c r="Z318" s="492"/>
      <c r="AA318" s="492"/>
      <c r="AB318" s="493"/>
      <c r="AC318" s="494"/>
      <c r="AD318" s="486" t="s">
        <v>877</v>
      </c>
      <c r="AE318" s="458">
        <v>25</v>
      </c>
      <c r="AF318">
        <v>30</v>
      </c>
      <c r="AI318" s="488"/>
      <c r="AJ318" s="489"/>
      <c r="AK318" s="490" t="s">
        <v>1207</v>
      </c>
    </row>
    <row r="319" spans="1:37" x14ac:dyDescent="0.25">
      <c r="A319" s="483" t="s">
        <v>574</v>
      </c>
      <c r="B319" s="484"/>
      <c r="C319" s="485"/>
      <c r="D319" s="485"/>
      <c r="E319" s="485"/>
      <c r="F319" s="485"/>
      <c r="G319" s="486" t="s">
        <v>1210</v>
      </c>
      <c r="H319" s="487">
        <v>1</v>
      </c>
      <c r="I319" s="484"/>
      <c r="J319" s="485"/>
      <c r="K319" s="485"/>
      <c r="L319" s="485"/>
      <c r="M319" s="485"/>
      <c r="N319" s="486" t="s">
        <v>1212</v>
      </c>
      <c r="O319" s="487">
        <v>1</v>
      </c>
      <c r="P319" s="492"/>
      <c r="Q319" s="492"/>
      <c r="R319" s="492"/>
      <c r="S319" s="492"/>
      <c r="T319" s="492"/>
      <c r="U319" s="493"/>
      <c r="V319" s="493"/>
      <c r="W319" s="491"/>
      <c r="X319" s="492"/>
      <c r="Y319" s="492"/>
      <c r="Z319" s="492"/>
      <c r="AA319" s="492"/>
      <c r="AB319" s="493"/>
      <c r="AC319" s="494"/>
      <c r="AD319" s="486" t="s">
        <v>877</v>
      </c>
      <c r="AE319" s="458">
        <v>25</v>
      </c>
      <c r="AF319">
        <v>30</v>
      </c>
      <c r="AI319" s="488"/>
      <c r="AJ319" s="490">
        <v>255</v>
      </c>
      <c r="AK319" s="490" t="s">
        <v>1207</v>
      </c>
    </row>
    <row r="320" spans="1:37" x14ac:dyDescent="0.25">
      <c r="A320" s="483" t="s">
        <v>1278</v>
      </c>
      <c r="B320" s="484"/>
      <c r="C320" s="485"/>
      <c r="D320" s="485"/>
      <c r="E320" s="485"/>
      <c r="F320" s="485"/>
      <c r="G320" s="486" t="s">
        <v>1212</v>
      </c>
      <c r="H320" s="487">
        <v>1</v>
      </c>
      <c r="I320" s="484"/>
      <c r="J320" s="485"/>
      <c r="K320" s="485"/>
      <c r="L320" s="485"/>
      <c r="M320" s="485"/>
      <c r="N320" s="486"/>
      <c r="O320" s="487"/>
      <c r="P320" s="492"/>
      <c r="Q320" s="492"/>
      <c r="R320" s="492"/>
      <c r="S320" s="492"/>
      <c r="T320" s="492"/>
      <c r="U320" s="493"/>
      <c r="V320" s="493"/>
      <c r="W320" s="491"/>
      <c r="X320" s="492"/>
      <c r="Y320" s="492"/>
      <c r="Z320" s="492"/>
      <c r="AA320" s="492"/>
      <c r="AB320" s="493"/>
      <c r="AC320" s="494"/>
      <c r="AD320" s="486" t="s">
        <v>877</v>
      </c>
      <c r="AE320" s="458">
        <v>25</v>
      </c>
      <c r="AF320">
        <v>30</v>
      </c>
      <c r="AI320" s="488"/>
      <c r="AJ320" s="490"/>
      <c r="AK320" s="490"/>
    </row>
    <row r="321" spans="1:37" x14ac:dyDescent="0.25">
      <c r="A321" s="521" t="s">
        <v>1304</v>
      </c>
      <c r="B321" s="484"/>
      <c r="C321" s="485"/>
      <c r="D321" s="485"/>
      <c r="E321" s="485"/>
      <c r="F321" s="485"/>
      <c r="G321" s="486" t="s">
        <v>1212</v>
      </c>
      <c r="H321" s="487">
        <v>2</v>
      </c>
      <c r="I321" s="484"/>
      <c r="J321" s="485"/>
      <c r="K321" s="485"/>
      <c r="L321" s="485"/>
      <c r="M321" s="485"/>
      <c r="N321" s="486"/>
      <c r="O321" s="487"/>
      <c r="P321" s="492"/>
      <c r="Q321" s="492"/>
      <c r="R321" s="492"/>
      <c r="S321" s="492"/>
      <c r="T321" s="492"/>
      <c r="U321" s="493"/>
      <c r="V321" s="493"/>
      <c r="W321" s="491"/>
      <c r="X321" s="492"/>
      <c r="Y321" s="492"/>
      <c r="Z321" s="492"/>
      <c r="AA321" s="492"/>
      <c r="AB321" s="493"/>
      <c r="AC321" s="494"/>
      <c r="AD321" s="486" t="s">
        <v>877</v>
      </c>
      <c r="AE321" s="458">
        <v>25</v>
      </c>
      <c r="AF321">
        <v>30</v>
      </c>
      <c r="AI321" s="488"/>
      <c r="AJ321" s="489"/>
      <c r="AK321" s="490" t="s">
        <v>1207</v>
      </c>
    </row>
    <row r="322" spans="1:37" x14ac:dyDescent="0.25">
      <c r="A322" s="483" t="s">
        <v>576</v>
      </c>
      <c r="B322" s="484" t="s">
        <v>66</v>
      </c>
      <c r="C322" s="485"/>
      <c r="D322" s="485" t="s">
        <v>66</v>
      </c>
      <c r="E322" s="485" t="s">
        <v>66</v>
      </c>
      <c r="F322" s="485"/>
      <c r="G322" s="486" t="s">
        <v>1205</v>
      </c>
      <c r="H322" s="487">
        <v>1</v>
      </c>
      <c r="I322" s="484" t="s">
        <v>66</v>
      </c>
      <c r="J322" s="485"/>
      <c r="K322" s="485" t="s">
        <v>66</v>
      </c>
      <c r="L322" s="485" t="s">
        <v>66</v>
      </c>
      <c r="M322" s="485"/>
      <c r="N322" s="486" t="s">
        <v>1205</v>
      </c>
      <c r="O322" s="487">
        <v>1</v>
      </c>
      <c r="P322" s="492"/>
      <c r="Q322" s="492"/>
      <c r="R322" s="492"/>
      <c r="S322" s="492"/>
      <c r="T322" s="492"/>
      <c r="U322" s="493"/>
      <c r="V322" s="493"/>
      <c r="W322" s="491"/>
      <c r="X322" s="492"/>
      <c r="Y322" s="492"/>
      <c r="Z322" s="492"/>
      <c r="AA322" s="492"/>
      <c r="AB322" s="493"/>
      <c r="AC322" s="494"/>
      <c r="AD322" s="486" t="s">
        <v>877</v>
      </c>
      <c r="AE322" s="458">
        <v>25</v>
      </c>
      <c r="AF322">
        <v>30</v>
      </c>
      <c r="AI322" s="488">
        <v>200</v>
      </c>
      <c r="AJ322" s="490">
        <v>125</v>
      </c>
      <c r="AK322" s="490" t="s">
        <v>1207</v>
      </c>
    </row>
    <row r="323" spans="1:37" x14ac:dyDescent="0.25">
      <c r="A323" s="483" t="s">
        <v>579</v>
      </c>
      <c r="B323" s="484"/>
      <c r="C323" s="485"/>
      <c r="D323" s="485"/>
      <c r="E323" s="485"/>
      <c r="F323" s="485"/>
      <c r="G323" s="486" t="s">
        <v>1210</v>
      </c>
      <c r="H323" s="487">
        <v>2</v>
      </c>
      <c r="I323" s="484"/>
      <c r="J323" s="485"/>
      <c r="K323" s="485"/>
      <c r="L323" s="485"/>
      <c r="M323" s="485"/>
      <c r="N323" s="486" t="s">
        <v>1210</v>
      </c>
      <c r="O323" s="487">
        <v>2</v>
      </c>
      <c r="P323" s="492"/>
      <c r="Q323" s="492"/>
      <c r="R323" s="492"/>
      <c r="S323" s="492"/>
      <c r="T323" s="492"/>
      <c r="U323" s="493"/>
      <c r="V323" s="493"/>
      <c r="W323" s="491"/>
      <c r="X323" s="492"/>
      <c r="Y323" s="492"/>
      <c r="Z323" s="492"/>
      <c r="AA323" s="492"/>
      <c r="AB323" s="493"/>
      <c r="AC323" s="494"/>
      <c r="AD323" s="486" t="s">
        <v>877</v>
      </c>
      <c r="AE323" s="458">
        <v>25</v>
      </c>
      <c r="AF323">
        <v>30</v>
      </c>
      <c r="AI323" s="488"/>
      <c r="AJ323" s="490">
        <v>126</v>
      </c>
      <c r="AK323" s="490" t="s">
        <v>1207</v>
      </c>
    </row>
    <row r="324" spans="1:37" s="458" customFormat="1" x14ac:dyDescent="0.25">
      <c r="A324" s="483"/>
      <c r="B324" s="484"/>
      <c r="C324" s="485"/>
      <c r="D324" s="485"/>
      <c r="E324" s="485"/>
      <c r="F324" s="485"/>
      <c r="G324" s="486"/>
      <c r="H324" s="487"/>
      <c r="I324" s="484"/>
      <c r="J324" s="485"/>
      <c r="K324" s="485"/>
      <c r="L324" s="485"/>
      <c r="M324" s="485"/>
      <c r="N324" s="486"/>
      <c r="O324" s="487"/>
      <c r="P324" s="485"/>
      <c r="Q324" s="485"/>
      <c r="R324" s="485"/>
      <c r="S324" s="485"/>
      <c r="T324" s="485"/>
      <c r="U324" s="486"/>
      <c r="V324" s="486"/>
      <c r="W324" s="484"/>
      <c r="X324" s="485"/>
      <c r="Y324" s="485"/>
      <c r="Z324" s="485"/>
      <c r="AA324" s="485"/>
      <c r="AB324" s="486"/>
      <c r="AC324" s="487"/>
      <c r="AD324" s="486"/>
      <c r="AI324" s="488"/>
      <c r="AJ324" s="490"/>
      <c r="AK324" s="490"/>
    </row>
    <row r="325" spans="1:37" x14ac:dyDescent="0.25">
      <c r="A325" s="483" t="s">
        <v>1077</v>
      </c>
      <c r="B325" s="484"/>
      <c r="C325" s="485"/>
      <c r="D325" s="485"/>
      <c r="E325" s="485"/>
      <c r="F325" s="485"/>
      <c r="G325" s="486"/>
      <c r="H325" s="487">
        <v>1</v>
      </c>
      <c r="I325" s="484"/>
      <c r="J325" s="485"/>
      <c r="K325" s="485"/>
      <c r="L325" s="485"/>
      <c r="M325" s="485"/>
      <c r="N325" s="486"/>
      <c r="O325" s="487">
        <v>1</v>
      </c>
      <c r="P325" s="492"/>
      <c r="Q325" s="492"/>
      <c r="R325" s="492"/>
      <c r="S325" s="492"/>
      <c r="T325" s="492"/>
      <c r="U325" s="493"/>
      <c r="V325" s="493"/>
      <c r="W325" s="491"/>
      <c r="X325" s="492"/>
      <c r="Y325" s="492"/>
      <c r="Z325" s="492"/>
      <c r="AA325" s="492"/>
      <c r="AB325" s="493"/>
      <c r="AC325" s="494"/>
      <c r="AD325" s="486" t="s">
        <v>1242</v>
      </c>
      <c r="AE325" s="458">
        <v>25</v>
      </c>
      <c r="AF325" s="458">
        <v>30</v>
      </c>
      <c r="AI325" s="488"/>
      <c r="AJ325" s="490">
        <v>256</v>
      </c>
      <c r="AK325" s="490" t="s">
        <v>1243</v>
      </c>
    </row>
    <row r="326" spans="1:37" x14ac:dyDescent="0.25">
      <c r="A326" s="483" t="s">
        <v>1079</v>
      </c>
      <c r="B326" s="484"/>
      <c r="C326" s="485"/>
      <c r="D326" s="485"/>
      <c r="E326" s="485"/>
      <c r="F326" s="485"/>
      <c r="G326" s="486"/>
      <c r="H326" s="487">
        <v>1</v>
      </c>
      <c r="I326" s="484"/>
      <c r="J326" s="485"/>
      <c r="K326" s="485"/>
      <c r="L326" s="485"/>
      <c r="M326" s="485" t="s">
        <v>66</v>
      </c>
      <c r="N326" s="486" t="s">
        <v>1205</v>
      </c>
      <c r="O326" s="487">
        <v>1</v>
      </c>
      <c r="P326" s="492"/>
      <c r="Q326" s="492"/>
      <c r="R326" s="492"/>
      <c r="S326" s="492"/>
      <c r="T326" s="492"/>
      <c r="U326" s="493"/>
      <c r="V326" s="493"/>
      <c r="W326" s="491"/>
      <c r="X326" s="492"/>
      <c r="Y326" s="492"/>
      <c r="Z326" s="492"/>
      <c r="AA326" s="492"/>
      <c r="AB326" s="493"/>
      <c r="AC326" s="494"/>
      <c r="AD326" s="486" t="s">
        <v>1242</v>
      </c>
      <c r="AE326" s="458">
        <v>25</v>
      </c>
      <c r="AF326" s="458">
        <v>30</v>
      </c>
      <c r="AI326" s="488"/>
      <c r="AJ326" s="490">
        <v>156</v>
      </c>
      <c r="AK326" s="490" t="s">
        <v>1243</v>
      </c>
    </row>
    <row r="327" spans="1:37" x14ac:dyDescent="0.25">
      <c r="A327" s="483" t="s">
        <v>1081</v>
      </c>
      <c r="B327" s="484"/>
      <c r="C327" s="485"/>
      <c r="D327" s="485"/>
      <c r="E327" s="485"/>
      <c r="F327" s="485"/>
      <c r="G327" s="486"/>
      <c r="H327" s="487">
        <v>3</v>
      </c>
      <c r="I327" s="484"/>
      <c r="J327" s="485"/>
      <c r="K327" s="485"/>
      <c r="L327" s="485"/>
      <c r="M327" s="485"/>
      <c r="N327" s="486"/>
      <c r="O327" s="487">
        <v>3</v>
      </c>
      <c r="P327" s="492"/>
      <c r="Q327" s="492"/>
      <c r="R327" s="492"/>
      <c r="S327" s="492"/>
      <c r="T327" s="492"/>
      <c r="U327" s="493"/>
      <c r="V327" s="493"/>
      <c r="W327" s="491"/>
      <c r="X327" s="492"/>
      <c r="Y327" s="492"/>
      <c r="Z327" s="492"/>
      <c r="AA327" s="492"/>
      <c r="AB327" s="493"/>
      <c r="AC327" s="494"/>
      <c r="AD327" s="486" t="s">
        <v>1242</v>
      </c>
      <c r="AE327" s="458">
        <v>25</v>
      </c>
      <c r="AF327" s="458">
        <v>30</v>
      </c>
      <c r="AI327" s="488"/>
      <c r="AJ327" s="490">
        <v>257</v>
      </c>
      <c r="AK327" s="490" t="s">
        <v>1243</v>
      </c>
    </row>
    <row r="328" spans="1:37" x14ac:dyDescent="0.25">
      <c r="A328" s="483" t="s">
        <v>1083</v>
      </c>
      <c r="B328" s="484"/>
      <c r="C328" s="485"/>
      <c r="D328" s="485"/>
      <c r="E328" s="485"/>
      <c r="F328" s="485"/>
      <c r="G328" s="486"/>
      <c r="H328" s="487">
        <v>2</v>
      </c>
      <c r="I328" s="484"/>
      <c r="J328" s="485"/>
      <c r="K328" s="485"/>
      <c r="L328" s="485"/>
      <c r="M328" s="485"/>
      <c r="N328" s="486"/>
      <c r="O328" s="487">
        <v>2</v>
      </c>
      <c r="P328" s="492"/>
      <c r="Q328" s="492"/>
      <c r="R328" s="492"/>
      <c r="S328" s="492"/>
      <c r="T328" s="492"/>
      <c r="U328" s="493"/>
      <c r="V328" s="493"/>
      <c r="W328" s="491"/>
      <c r="X328" s="492"/>
      <c r="Y328" s="492"/>
      <c r="Z328" s="492"/>
      <c r="AA328" s="492"/>
      <c r="AB328" s="493"/>
      <c r="AC328" s="494"/>
      <c r="AD328" s="486" t="s">
        <v>1242</v>
      </c>
      <c r="AE328" s="458">
        <v>25</v>
      </c>
      <c r="AF328" s="458">
        <v>30</v>
      </c>
      <c r="AI328" s="488"/>
      <c r="AJ328" s="490">
        <v>157</v>
      </c>
      <c r="AK328" s="490" t="s">
        <v>1243</v>
      </c>
    </row>
    <row r="329" spans="1:37" x14ac:dyDescent="0.25">
      <c r="A329" s="483" t="s">
        <v>1086</v>
      </c>
      <c r="B329" s="484"/>
      <c r="C329" s="485"/>
      <c r="D329" s="485"/>
      <c r="E329" s="485"/>
      <c r="F329" s="485"/>
      <c r="G329" s="486"/>
      <c r="H329" s="487">
        <v>2</v>
      </c>
      <c r="I329" s="484"/>
      <c r="J329" s="485"/>
      <c r="K329" s="485"/>
      <c r="L329" s="485"/>
      <c r="M329" s="485"/>
      <c r="N329" s="486"/>
      <c r="O329" s="487">
        <v>2</v>
      </c>
      <c r="P329" s="492"/>
      <c r="Q329" s="492"/>
      <c r="R329" s="492"/>
      <c r="S329" s="492"/>
      <c r="T329" s="492"/>
      <c r="U329" s="493"/>
      <c r="V329" s="493"/>
      <c r="W329" s="491"/>
      <c r="X329" s="492"/>
      <c r="Y329" s="492"/>
      <c r="Z329" s="492"/>
      <c r="AA329" s="492"/>
      <c r="AB329" s="493"/>
      <c r="AC329" s="494"/>
      <c r="AD329" s="486" t="s">
        <v>1242</v>
      </c>
      <c r="AE329" s="458">
        <v>25</v>
      </c>
      <c r="AF329" s="458">
        <v>30</v>
      </c>
      <c r="AI329" s="488"/>
      <c r="AJ329" s="490">
        <v>158</v>
      </c>
      <c r="AK329" s="490" t="s">
        <v>1243</v>
      </c>
    </row>
    <row r="330" spans="1:37" x14ac:dyDescent="0.25">
      <c r="A330" s="483" t="s">
        <v>1089</v>
      </c>
      <c r="B330" s="484"/>
      <c r="C330" s="485"/>
      <c r="D330" s="485"/>
      <c r="E330" s="485"/>
      <c r="F330" s="485"/>
      <c r="G330" s="486"/>
      <c r="H330" s="487">
        <v>2</v>
      </c>
      <c r="I330" s="484"/>
      <c r="J330" s="485"/>
      <c r="K330" s="485"/>
      <c r="L330" s="485"/>
      <c r="M330" s="485" t="s">
        <v>66</v>
      </c>
      <c r="N330" s="486"/>
      <c r="O330" s="487">
        <v>2</v>
      </c>
      <c r="P330" s="492"/>
      <c r="Q330" s="492"/>
      <c r="R330" s="492"/>
      <c r="S330" s="492"/>
      <c r="T330" s="492"/>
      <c r="U330" s="493"/>
      <c r="V330" s="493"/>
      <c r="W330" s="491"/>
      <c r="X330" s="492"/>
      <c r="Y330" s="492"/>
      <c r="Z330" s="492"/>
      <c r="AA330" s="492"/>
      <c r="AB330" s="493"/>
      <c r="AC330" s="494"/>
      <c r="AD330" s="486" t="s">
        <v>1242</v>
      </c>
      <c r="AE330" s="458">
        <v>25</v>
      </c>
      <c r="AF330" s="458">
        <v>30</v>
      </c>
      <c r="AI330" s="488"/>
      <c r="AJ330" s="490">
        <v>159</v>
      </c>
      <c r="AK330" s="490" t="s">
        <v>1243</v>
      </c>
    </row>
    <row r="331" spans="1:37" x14ac:dyDescent="0.25">
      <c r="A331" s="483" t="s">
        <v>1092</v>
      </c>
      <c r="B331" s="484"/>
      <c r="C331" s="485"/>
      <c r="D331" s="485"/>
      <c r="E331" s="485"/>
      <c r="F331" s="485"/>
      <c r="G331" s="486"/>
      <c r="H331" s="487">
        <v>3</v>
      </c>
      <c r="I331" s="484"/>
      <c r="J331" s="485"/>
      <c r="K331" s="485"/>
      <c r="L331" s="485"/>
      <c r="M331" s="485"/>
      <c r="N331" s="486"/>
      <c r="O331" s="487">
        <v>3</v>
      </c>
      <c r="P331" s="492"/>
      <c r="Q331" s="492"/>
      <c r="R331" s="492"/>
      <c r="S331" s="492"/>
      <c r="T331" s="492"/>
      <c r="U331" s="493"/>
      <c r="V331" s="493"/>
      <c r="W331" s="491"/>
      <c r="X331" s="492"/>
      <c r="Y331" s="492"/>
      <c r="Z331" s="492"/>
      <c r="AA331" s="492"/>
      <c r="AB331" s="493"/>
      <c r="AC331" s="494"/>
      <c r="AD331" s="486" t="s">
        <v>1242</v>
      </c>
      <c r="AE331" s="458">
        <v>25</v>
      </c>
      <c r="AF331" s="458">
        <v>30</v>
      </c>
      <c r="AI331" s="488"/>
      <c r="AJ331" s="489"/>
      <c r="AK331" s="490" t="s">
        <v>1243</v>
      </c>
    </row>
    <row r="332" spans="1:37" x14ac:dyDescent="0.25">
      <c r="A332" s="483" t="s">
        <v>1294</v>
      </c>
      <c r="B332" s="484"/>
      <c r="C332" s="485"/>
      <c r="D332" s="485"/>
      <c r="E332" s="485"/>
      <c r="F332" s="485"/>
      <c r="G332" s="486"/>
      <c r="H332" s="487">
        <v>2</v>
      </c>
      <c r="I332" s="484"/>
      <c r="J332" s="485"/>
      <c r="K332" s="485"/>
      <c r="L332" s="485"/>
      <c r="M332" s="485"/>
      <c r="N332" s="486"/>
      <c r="O332" s="487">
        <v>2</v>
      </c>
      <c r="P332" s="492"/>
      <c r="Q332" s="492"/>
      <c r="R332" s="492"/>
      <c r="S332" s="492"/>
      <c r="T332" s="492"/>
      <c r="U332" s="493"/>
      <c r="V332" s="493"/>
      <c r="W332" s="491"/>
      <c r="X332" s="492"/>
      <c r="Y332" s="492"/>
      <c r="Z332" s="492"/>
      <c r="AA332" s="492"/>
      <c r="AB332" s="493"/>
      <c r="AC332" s="494"/>
      <c r="AD332" s="486" t="s">
        <v>1242</v>
      </c>
      <c r="AE332" s="458">
        <v>25</v>
      </c>
      <c r="AF332" s="458">
        <v>30</v>
      </c>
      <c r="AI332" s="488"/>
      <c r="AJ332" s="490">
        <v>159</v>
      </c>
      <c r="AK332" s="490" t="s">
        <v>1243</v>
      </c>
    </row>
    <row r="333" spans="1:37" ht="15" customHeight="1" x14ac:dyDescent="0.25">
      <c r="A333" s="483"/>
      <c r="B333" s="484"/>
      <c r="C333" s="485"/>
      <c r="D333" s="485"/>
      <c r="E333" s="485"/>
      <c r="F333" s="485"/>
      <c r="G333" s="486"/>
      <c r="H333" s="487"/>
      <c r="I333" s="484"/>
      <c r="J333" s="485"/>
      <c r="K333" s="485"/>
      <c r="L333" s="485"/>
      <c r="M333" s="485"/>
      <c r="N333" s="486"/>
      <c r="O333" s="487"/>
      <c r="P333" s="485"/>
      <c r="Q333" s="485"/>
      <c r="R333" s="485"/>
      <c r="S333" s="485"/>
      <c r="T333" s="485"/>
      <c r="U333" s="486"/>
      <c r="V333" s="486"/>
      <c r="W333" s="484"/>
      <c r="X333" s="485"/>
      <c r="Y333" s="485"/>
      <c r="Z333" s="485"/>
      <c r="AA333" s="485"/>
      <c r="AB333" s="486"/>
      <c r="AC333" s="487"/>
      <c r="AD333" s="486"/>
      <c r="AE333" s="458"/>
      <c r="AI333" s="488"/>
      <c r="AJ333" s="489"/>
      <c r="AK333" s="490"/>
    </row>
    <row r="334" spans="1:37" ht="15" customHeight="1" x14ac:dyDescent="0.25">
      <c r="A334" s="483" t="s">
        <v>943</v>
      </c>
      <c r="B334" s="484"/>
      <c r="C334" s="485"/>
      <c r="D334" s="485"/>
      <c r="E334" s="485"/>
      <c r="F334" s="485"/>
      <c r="G334" s="486"/>
      <c r="H334" s="487">
        <v>1</v>
      </c>
      <c r="I334" s="484" t="s">
        <v>66</v>
      </c>
      <c r="J334" s="485"/>
      <c r="K334" s="485" t="s">
        <v>56</v>
      </c>
      <c r="L334" s="485" t="s">
        <v>56</v>
      </c>
      <c r="M334" s="485"/>
      <c r="N334" s="486"/>
      <c r="O334" s="487">
        <v>1</v>
      </c>
      <c r="P334" s="484"/>
      <c r="Q334" s="485"/>
      <c r="R334" s="485" t="s">
        <v>66</v>
      </c>
      <c r="S334" s="485"/>
      <c r="T334" s="485"/>
      <c r="U334" s="486"/>
      <c r="V334" s="486"/>
      <c r="W334" s="485"/>
      <c r="X334" s="485"/>
      <c r="Y334" s="485"/>
      <c r="Z334" s="485"/>
      <c r="AA334" s="485"/>
      <c r="AB334" s="486"/>
      <c r="AC334" s="486">
        <v>2</v>
      </c>
      <c r="AD334" s="486" t="s">
        <v>1244</v>
      </c>
      <c r="AE334" s="458">
        <v>25</v>
      </c>
      <c r="AF334">
        <v>30</v>
      </c>
      <c r="AG334" s="499">
        <v>40</v>
      </c>
      <c r="AH334" s="499">
        <v>45</v>
      </c>
      <c r="AI334" s="488"/>
      <c r="AJ334" s="490">
        <v>259</v>
      </c>
      <c r="AK334" s="490" t="s">
        <v>1245</v>
      </c>
    </row>
    <row r="335" spans="1:37" ht="15" customHeight="1" x14ac:dyDescent="0.25">
      <c r="A335" s="483" t="s">
        <v>947</v>
      </c>
      <c r="B335" s="484"/>
      <c r="C335" s="485"/>
      <c r="D335" s="485"/>
      <c r="E335" s="485"/>
      <c r="F335" s="485"/>
      <c r="G335" s="486"/>
      <c r="H335" s="487">
        <v>1</v>
      </c>
      <c r="I335" s="484" t="s">
        <v>56</v>
      </c>
      <c r="J335" s="485"/>
      <c r="K335" s="485" t="s">
        <v>56</v>
      </c>
      <c r="L335" s="485" t="s">
        <v>56</v>
      </c>
      <c r="M335" s="485"/>
      <c r="N335" s="486"/>
      <c r="O335" s="487">
        <v>1</v>
      </c>
      <c r="P335" s="484"/>
      <c r="Q335" s="485"/>
      <c r="R335" s="485"/>
      <c r="S335" s="485"/>
      <c r="T335" s="485"/>
      <c r="U335" s="486"/>
      <c r="V335" s="486"/>
      <c r="W335" s="485"/>
      <c r="X335" s="485"/>
      <c r="Y335" s="485"/>
      <c r="Z335" s="485"/>
      <c r="AA335" s="485"/>
      <c r="AB335" s="486"/>
      <c r="AC335" s="486">
        <v>2</v>
      </c>
      <c r="AD335" s="486" t="s">
        <v>1244</v>
      </c>
      <c r="AE335" s="458">
        <v>25</v>
      </c>
      <c r="AF335">
        <v>30</v>
      </c>
      <c r="AG335" s="499">
        <v>40</v>
      </c>
      <c r="AH335" s="499">
        <v>45</v>
      </c>
      <c r="AI335" s="488"/>
      <c r="AJ335" s="490">
        <v>164</v>
      </c>
      <c r="AK335" s="490" t="s">
        <v>1245</v>
      </c>
    </row>
    <row r="336" spans="1:37" ht="15" customHeight="1" x14ac:dyDescent="0.25">
      <c r="A336" s="483" t="s">
        <v>948</v>
      </c>
      <c r="B336" s="484"/>
      <c r="C336" s="485"/>
      <c r="D336" s="485"/>
      <c r="E336" s="485"/>
      <c r="F336" s="485"/>
      <c r="G336" s="486"/>
      <c r="H336" s="487">
        <v>1</v>
      </c>
      <c r="I336" s="484" t="s">
        <v>66</v>
      </c>
      <c r="J336" s="485"/>
      <c r="K336" s="485" t="s">
        <v>66</v>
      </c>
      <c r="L336" s="485"/>
      <c r="M336" s="485"/>
      <c r="N336" s="486"/>
      <c r="O336" s="487">
        <v>1</v>
      </c>
      <c r="P336" s="484"/>
      <c r="Q336" s="485"/>
      <c r="R336" s="485"/>
      <c r="S336" s="485"/>
      <c r="T336" s="485"/>
      <c r="U336" s="486"/>
      <c r="V336" s="486"/>
      <c r="W336" s="485"/>
      <c r="X336" s="485"/>
      <c r="Y336" s="485"/>
      <c r="Z336" s="485"/>
      <c r="AA336" s="485"/>
      <c r="AB336" s="486"/>
      <c r="AC336" s="486">
        <v>2</v>
      </c>
      <c r="AD336" s="486" t="s">
        <v>1244</v>
      </c>
      <c r="AE336" s="458">
        <v>25</v>
      </c>
      <c r="AF336">
        <v>30</v>
      </c>
      <c r="AG336" s="499">
        <v>40</v>
      </c>
      <c r="AH336" s="499">
        <v>45</v>
      </c>
      <c r="AI336" s="488"/>
      <c r="AJ336" s="490">
        <v>162</v>
      </c>
      <c r="AK336" s="490" t="s">
        <v>1245</v>
      </c>
    </row>
    <row r="337" spans="1:37" ht="15" customHeight="1" x14ac:dyDescent="0.25">
      <c r="A337" s="483" t="s">
        <v>949</v>
      </c>
      <c r="B337" s="484"/>
      <c r="C337" s="485"/>
      <c r="D337" s="485"/>
      <c r="E337" s="485"/>
      <c r="F337" s="485"/>
      <c r="G337" s="486"/>
      <c r="H337" s="487">
        <v>1</v>
      </c>
      <c r="I337" s="484" t="s">
        <v>66</v>
      </c>
      <c r="J337" s="485"/>
      <c r="K337" s="485" t="s">
        <v>56</v>
      </c>
      <c r="L337" s="485" t="s">
        <v>56</v>
      </c>
      <c r="M337" s="485"/>
      <c r="N337" s="486"/>
      <c r="O337" s="487">
        <v>1</v>
      </c>
      <c r="P337" s="484"/>
      <c r="Q337" s="485"/>
      <c r="R337" s="485"/>
      <c r="S337" s="485"/>
      <c r="T337" s="485"/>
      <c r="U337" s="486"/>
      <c r="V337" s="486"/>
      <c r="W337" s="485"/>
      <c r="X337" s="485"/>
      <c r="Y337" s="485"/>
      <c r="Z337" s="485"/>
      <c r="AA337" s="485"/>
      <c r="AB337" s="486"/>
      <c r="AC337" s="486">
        <v>2</v>
      </c>
      <c r="AD337" s="486" t="s">
        <v>1244</v>
      </c>
      <c r="AE337" s="458">
        <v>25</v>
      </c>
      <c r="AF337">
        <v>30</v>
      </c>
      <c r="AG337" s="499">
        <v>40</v>
      </c>
      <c r="AH337" s="499">
        <v>45</v>
      </c>
      <c r="AI337" s="488"/>
      <c r="AJ337" s="490">
        <v>163</v>
      </c>
      <c r="AK337" s="490" t="s">
        <v>1245</v>
      </c>
    </row>
    <row r="338" spans="1:37" ht="15" customHeight="1" x14ac:dyDescent="0.25">
      <c r="A338" s="483" t="s">
        <v>950</v>
      </c>
      <c r="B338" s="484"/>
      <c r="C338" s="485"/>
      <c r="D338" s="485"/>
      <c r="E338" s="485"/>
      <c r="F338" s="485"/>
      <c r="G338" s="486"/>
      <c r="H338" s="487">
        <v>1</v>
      </c>
      <c r="I338" s="484" t="s">
        <v>66</v>
      </c>
      <c r="J338" s="485"/>
      <c r="K338" s="485" t="s">
        <v>56</v>
      </c>
      <c r="L338" s="485" t="s">
        <v>56</v>
      </c>
      <c r="M338" s="485"/>
      <c r="N338" s="486"/>
      <c r="O338" s="487">
        <v>1</v>
      </c>
      <c r="P338" s="484"/>
      <c r="Q338" s="485"/>
      <c r="R338" s="485"/>
      <c r="S338" s="485"/>
      <c r="T338" s="485"/>
      <c r="U338" s="486"/>
      <c r="V338" s="486"/>
      <c r="W338" s="485"/>
      <c r="X338" s="485"/>
      <c r="Y338" s="485"/>
      <c r="Z338" s="485"/>
      <c r="AA338" s="485"/>
      <c r="AB338" s="486"/>
      <c r="AC338" s="486">
        <v>2</v>
      </c>
      <c r="AD338" s="486" t="s">
        <v>1244</v>
      </c>
      <c r="AE338" s="458">
        <v>25</v>
      </c>
      <c r="AF338">
        <v>30</v>
      </c>
      <c r="AG338" s="499">
        <v>40</v>
      </c>
      <c r="AH338" s="499">
        <v>45</v>
      </c>
      <c r="AI338" s="488"/>
      <c r="AJ338" s="490">
        <v>165</v>
      </c>
      <c r="AK338" s="490" t="s">
        <v>1245</v>
      </c>
    </row>
    <row r="339" spans="1:37" ht="15" customHeight="1" x14ac:dyDescent="0.25">
      <c r="A339" s="483" t="s">
        <v>951</v>
      </c>
      <c r="B339" s="484"/>
      <c r="C339" s="485"/>
      <c r="D339" s="485"/>
      <c r="E339" s="485"/>
      <c r="F339" s="485"/>
      <c r="G339" s="486"/>
      <c r="H339" s="487">
        <v>1</v>
      </c>
      <c r="I339" s="484" t="s">
        <v>66</v>
      </c>
      <c r="J339" s="485" t="s">
        <v>66</v>
      </c>
      <c r="K339" s="485" t="s">
        <v>66</v>
      </c>
      <c r="L339" s="485" t="s">
        <v>66</v>
      </c>
      <c r="M339" s="485"/>
      <c r="N339" s="486"/>
      <c r="O339" s="487">
        <v>1</v>
      </c>
      <c r="P339" s="485"/>
      <c r="Q339" s="485"/>
      <c r="R339" s="485"/>
      <c r="S339" s="485"/>
      <c r="T339" s="485"/>
      <c r="U339" s="486"/>
      <c r="V339" s="486"/>
      <c r="W339" s="484"/>
      <c r="X339" s="485"/>
      <c r="Y339" s="485"/>
      <c r="Z339" s="485"/>
      <c r="AA339" s="485"/>
      <c r="AB339" s="486"/>
      <c r="AC339" s="487"/>
      <c r="AD339" s="486" t="s">
        <v>1244</v>
      </c>
      <c r="AE339" s="458">
        <v>25</v>
      </c>
      <c r="AF339">
        <v>30</v>
      </c>
      <c r="AG339" s="499">
        <v>40</v>
      </c>
      <c r="AH339" s="499">
        <v>45</v>
      </c>
      <c r="AI339" s="488"/>
      <c r="AJ339" s="490">
        <v>161</v>
      </c>
      <c r="AK339" s="490" t="s">
        <v>1245</v>
      </c>
    </row>
    <row r="340" spans="1:37" ht="15" customHeight="1" x14ac:dyDescent="0.25">
      <c r="A340" s="483" t="s">
        <v>952</v>
      </c>
      <c r="B340" s="484"/>
      <c r="C340" s="485"/>
      <c r="D340" s="485"/>
      <c r="E340" s="485"/>
      <c r="F340" s="485"/>
      <c r="G340" s="486"/>
      <c r="H340" s="487">
        <v>1</v>
      </c>
      <c r="I340" s="484"/>
      <c r="J340" s="485"/>
      <c r="K340" s="485"/>
      <c r="L340" s="485"/>
      <c r="M340" s="485"/>
      <c r="N340" s="486"/>
      <c r="O340" s="487">
        <v>1</v>
      </c>
      <c r="P340" s="485"/>
      <c r="Q340" s="485"/>
      <c r="R340" s="485"/>
      <c r="S340" s="485"/>
      <c r="T340" s="485"/>
      <c r="U340" s="486"/>
      <c r="V340" s="486">
        <v>1</v>
      </c>
      <c r="W340" s="484"/>
      <c r="X340" s="485"/>
      <c r="Y340" s="485"/>
      <c r="Z340" s="485"/>
      <c r="AA340" s="485"/>
      <c r="AB340" s="486"/>
      <c r="AC340" s="487">
        <v>1</v>
      </c>
      <c r="AD340" s="486" t="s">
        <v>1244</v>
      </c>
      <c r="AE340" s="458">
        <v>25</v>
      </c>
      <c r="AF340">
        <v>30</v>
      </c>
      <c r="AG340" s="499">
        <v>40</v>
      </c>
      <c r="AH340" s="499">
        <v>45</v>
      </c>
      <c r="AI340" s="488"/>
      <c r="AJ340" s="490">
        <v>260</v>
      </c>
      <c r="AK340" s="490" t="s">
        <v>1245</v>
      </c>
    </row>
    <row r="341" spans="1:37" ht="15" customHeight="1" x14ac:dyDescent="0.25">
      <c r="A341" s="483"/>
      <c r="B341" s="484"/>
      <c r="C341" s="485"/>
      <c r="D341" s="485"/>
      <c r="E341" s="485"/>
      <c r="F341" s="485"/>
      <c r="G341" s="486"/>
      <c r="H341" s="487"/>
      <c r="I341" s="484"/>
      <c r="J341" s="485"/>
      <c r="K341" s="485"/>
      <c r="L341" s="485"/>
      <c r="M341" s="485"/>
      <c r="N341" s="486"/>
      <c r="O341" s="487"/>
      <c r="P341" s="485"/>
      <c r="Q341" s="485"/>
      <c r="R341" s="485"/>
      <c r="S341" s="485"/>
      <c r="T341" s="485"/>
      <c r="U341" s="486"/>
      <c r="V341" s="486"/>
      <c r="W341" s="484"/>
      <c r="X341" s="485"/>
      <c r="Y341" s="485"/>
      <c r="Z341" s="485"/>
      <c r="AA341" s="485"/>
      <c r="AB341" s="486"/>
      <c r="AC341" s="487"/>
      <c r="AD341" s="486"/>
      <c r="AE341" s="458"/>
      <c r="AI341" s="488"/>
      <c r="AJ341" s="490"/>
      <c r="AK341" s="490"/>
    </row>
    <row r="342" spans="1:37" x14ac:dyDescent="0.25">
      <c r="A342" s="500" t="s">
        <v>955</v>
      </c>
      <c r="B342" s="484"/>
      <c r="C342" s="485"/>
      <c r="D342" s="485"/>
      <c r="E342" s="485"/>
      <c r="F342" s="485"/>
      <c r="G342" s="486"/>
      <c r="H342" s="487">
        <v>1</v>
      </c>
      <c r="I342" s="484"/>
      <c r="J342" s="485"/>
      <c r="K342" s="485"/>
      <c r="L342" s="485"/>
      <c r="M342" s="485"/>
      <c r="N342" s="486"/>
      <c r="O342" s="487"/>
      <c r="P342" s="492"/>
      <c r="Q342" s="492"/>
      <c r="R342" s="492"/>
      <c r="S342" s="492"/>
      <c r="T342" s="492"/>
      <c r="U342" s="493"/>
      <c r="V342" s="493"/>
      <c r="W342" s="491"/>
      <c r="X342" s="492"/>
      <c r="Y342" s="492"/>
      <c r="Z342" s="492"/>
      <c r="AA342" s="492"/>
      <c r="AB342" s="493"/>
      <c r="AC342" s="494"/>
      <c r="AD342" s="486" t="s">
        <v>1246</v>
      </c>
      <c r="AE342" s="458">
        <v>25</v>
      </c>
      <c r="AI342" s="501"/>
      <c r="AJ342" s="490">
        <v>262</v>
      </c>
      <c r="AK342" s="490" t="s">
        <v>1247</v>
      </c>
    </row>
    <row r="343" spans="1:37" x14ac:dyDescent="0.25">
      <c r="A343" s="483" t="s">
        <v>957</v>
      </c>
      <c r="B343" s="484"/>
      <c r="C343" s="485"/>
      <c r="D343" s="485"/>
      <c r="E343" s="485"/>
      <c r="F343" s="485"/>
      <c r="G343" s="486"/>
      <c r="H343" s="487">
        <v>1</v>
      </c>
      <c r="I343" s="484"/>
      <c r="J343" s="485"/>
      <c r="K343" s="485"/>
      <c r="L343" s="485"/>
      <c r="M343" s="485"/>
      <c r="N343" s="486"/>
      <c r="O343" s="487"/>
      <c r="P343" s="492"/>
      <c r="Q343" s="492"/>
      <c r="R343" s="492"/>
      <c r="S343" s="492"/>
      <c r="T343" s="492"/>
      <c r="U343" s="493"/>
      <c r="V343" s="493"/>
      <c r="W343" s="491"/>
      <c r="X343" s="492"/>
      <c r="Y343" s="492"/>
      <c r="Z343" s="492"/>
      <c r="AA343" s="492"/>
      <c r="AB343" s="493"/>
      <c r="AC343" s="494"/>
      <c r="AD343" s="486" t="s">
        <v>1246</v>
      </c>
      <c r="AE343" s="458">
        <v>25</v>
      </c>
      <c r="AI343" s="488"/>
      <c r="AJ343" s="489"/>
      <c r="AK343" s="490" t="s">
        <v>1247</v>
      </c>
    </row>
    <row r="344" spans="1:37" x14ac:dyDescent="0.25">
      <c r="A344" s="500" t="s">
        <v>958</v>
      </c>
      <c r="B344" s="484"/>
      <c r="C344" s="485"/>
      <c r="D344" s="485"/>
      <c r="E344" s="485"/>
      <c r="F344" s="485"/>
      <c r="G344" s="486"/>
      <c r="H344" s="487">
        <v>1</v>
      </c>
      <c r="I344" s="484"/>
      <c r="J344" s="485"/>
      <c r="K344" s="485"/>
      <c r="L344" s="485"/>
      <c r="M344" s="485"/>
      <c r="N344" s="486"/>
      <c r="O344" s="487"/>
      <c r="P344" s="492"/>
      <c r="Q344" s="492"/>
      <c r="R344" s="492"/>
      <c r="S344" s="492"/>
      <c r="T344" s="492"/>
      <c r="U344" s="493"/>
      <c r="V344" s="493"/>
      <c r="W344" s="491"/>
      <c r="X344" s="492"/>
      <c r="Y344" s="492"/>
      <c r="Z344" s="492"/>
      <c r="AA344" s="492"/>
      <c r="AB344" s="493"/>
      <c r="AC344" s="494"/>
      <c r="AD344" s="486" t="s">
        <v>1246</v>
      </c>
      <c r="AE344" s="458">
        <v>25</v>
      </c>
      <c r="AI344" s="501"/>
      <c r="AJ344" s="489"/>
      <c r="AK344" s="490" t="s">
        <v>1247</v>
      </c>
    </row>
    <row r="345" spans="1:37" x14ac:dyDescent="0.25">
      <c r="A345" s="500" t="s">
        <v>959</v>
      </c>
      <c r="B345" s="484"/>
      <c r="C345" s="485"/>
      <c r="D345" s="485"/>
      <c r="E345" s="485"/>
      <c r="F345" s="485"/>
      <c r="G345" s="486"/>
      <c r="H345" s="487">
        <v>1</v>
      </c>
      <c r="I345" s="484"/>
      <c r="J345" s="485"/>
      <c r="K345" s="485"/>
      <c r="L345" s="485"/>
      <c r="M345" s="485"/>
      <c r="N345" s="486"/>
      <c r="O345" s="487"/>
      <c r="P345" s="492"/>
      <c r="Q345" s="492"/>
      <c r="R345" s="492"/>
      <c r="S345" s="492"/>
      <c r="T345" s="492"/>
      <c r="U345" s="493"/>
      <c r="V345" s="493"/>
      <c r="W345" s="491"/>
      <c r="X345" s="492"/>
      <c r="Y345" s="492"/>
      <c r="Z345" s="492"/>
      <c r="AA345" s="492"/>
      <c r="AB345" s="493"/>
      <c r="AC345" s="494"/>
      <c r="AD345" s="486" t="s">
        <v>1246</v>
      </c>
      <c r="AE345" s="458">
        <v>25</v>
      </c>
      <c r="AI345" s="501"/>
      <c r="AJ345" s="489"/>
      <c r="AK345" s="490" t="s">
        <v>1247</v>
      </c>
    </row>
    <row r="346" spans="1:37" x14ac:dyDescent="0.25">
      <c r="A346" s="500" t="s">
        <v>1459</v>
      </c>
      <c r="B346" s="484"/>
      <c r="C346" s="485"/>
      <c r="D346" s="485"/>
      <c r="E346" s="485"/>
      <c r="F346" s="485"/>
      <c r="G346" s="486" t="s">
        <v>1212</v>
      </c>
      <c r="H346" s="487">
        <v>1</v>
      </c>
      <c r="I346" s="484"/>
      <c r="J346" s="485"/>
      <c r="K346" s="485"/>
      <c r="L346" s="485"/>
      <c r="M346" s="485"/>
      <c r="N346" s="486"/>
      <c r="O346" s="487"/>
      <c r="P346" s="492"/>
      <c r="Q346" s="492"/>
      <c r="R346" s="492"/>
      <c r="S346" s="492"/>
      <c r="T346" s="492"/>
      <c r="U346" s="493"/>
      <c r="V346" s="493"/>
      <c r="W346" s="491"/>
      <c r="X346" s="492"/>
      <c r="Y346" s="492"/>
      <c r="Z346" s="492"/>
      <c r="AA346" s="492"/>
      <c r="AB346" s="493"/>
      <c r="AC346" s="494"/>
      <c r="AD346" s="486" t="s">
        <v>1246</v>
      </c>
      <c r="AE346" s="458">
        <v>25</v>
      </c>
      <c r="AI346" s="501"/>
      <c r="AJ346" s="489"/>
      <c r="AK346" s="490" t="s">
        <v>1247</v>
      </c>
    </row>
    <row r="347" spans="1:37" x14ac:dyDescent="0.25">
      <c r="A347" s="500" t="s">
        <v>1306</v>
      </c>
      <c r="B347" s="484"/>
      <c r="C347" s="485"/>
      <c r="D347" s="485"/>
      <c r="E347" s="485"/>
      <c r="F347" s="485"/>
      <c r="G347" s="486" t="s">
        <v>1210</v>
      </c>
      <c r="H347" s="487">
        <v>1</v>
      </c>
      <c r="I347" s="484"/>
      <c r="J347" s="485"/>
      <c r="K347" s="485"/>
      <c r="L347" s="485"/>
      <c r="M347" s="485"/>
      <c r="N347" s="486"/>
      <c r="O347" s="487"/>
      <c r="P347" s="492"/>
      <c r="Q347" s="492"/>
      <c r="R347" s="492"/>
      <c r="S347" s="492"/>
      <c r="T347" s="492"/>
      <c r="U347" s="493"/>
      <c r="V347" s="493"/>
      <c r="W347" s="491"/>
      <c r="X347" s="492"/>
      <c r="Y347" s="492"/>
      <c r="Z347" s="492"/>
      <c r="AA347" s="492"/>
      <c r="AB347" s="493"/>
      <c r="AC347" s="494"/>
      <c r="AD347" s="486" t="s">
        <v>1246</v>
      </c>
      <c r="AE347" s="458">
        <v>25</v>
      </c>
      <c r="AI347" s="501"/>
      <c r="AJ347" s="489"/>
      <c r="AK347" s="490" t="s">
        <v>1247</v>
      </c>
    </row>
    <row r="348" spans="1:37" x14ac:dyDescent="0.25">
      <c r="A348" s="500" t="s">
        <v>960</v>
      </c>
      <c r="B348" s="484"/>
      <c r="C348" s="485"/>
      <c r="D348" s="485"/>
      <c r="E348" s="485"/>
      <c r="F348" s="485"/>
      <c r="G348" s="486"/>
      <c r="H348" s="487">
        <v>1</v>
      </c>
      <c r="I348" s="484"/>
      <c r="J348" s="485"/>
      <c r="K348" s="485"/>
      <c r="L348" s="485"/>
      <c r="M348" s="485"/>
      <c r="N348" s="486"/>
      <c r="O348" s="487"/>
      <c r="P348" s="492"/>
      <c r="Q348" s="492"/>
      <c r="R348" s="492"/>
      <c r="S348" s="492"/>
      <c r="T348" s="492"/>
      <c r="U348" s="493"/>
      <c r="V348" s="493"/>
      <c r="W348" s="491"/>
      <c r="X348" s="492"/>
      <c r="Y348" s="492"/>
      <c r="Z348" s="492"/>
      <c r="AA348" s="492"/>
      <c r="AB348" s="493"/>
      <c r="AC348" s="494"/>
      <c r="AD348" s="486" t="s">
        <v>1246</v>
      </c>
      <c r="AE348" s="458">
        <v>25</v>
      </c>
      <c r="AI348" s="501"/>
      <c r="AJ348" s="489"/>
      <c r="AK348" s="490" t="s">
        <v>1247</v>
      </c>
    </row>
    <row r="349" spans="1:37" x14ac:dyDescent="0.25">
      <c r="A349" s="755" t="s">
        <v>961</v>
      </c>
      <c r="B349" s="484" t="s">
        <v>66</v>
      </c>
      <c r="C349" s="485"/>
      <c r="D349" s="485" t="s">
        <v>66</v>
      </c>
      <c r="E349" s="485"/>
      <c r="F349" s="485"/>
      <c r="G349" s="486" t="s">
        <v>1212</v>
      </c>
      <c r="H349" s="487">
        <v>1</v>
      </c>
      <c r="I349" s="484"/>
      <c r="J349" s="485"/>
      <c r="K349" s="485"/>
      <c r="L349" s="485"/>
      <c r="M349" s="485"/>
      <c r="N349" s="486"/>
      <c r="O349" s="487"/>
      <c r="P349" s="492"/>
      <c r="Q349" s="492"/>
      <c r="R349" s="492"/>
      <c r="S349" s="492"/>
      <c r="T349" s="492"/>
      <c r="U349" s="493"/>
      <c r="V349" s="493"/>
      <c r="W349" s="491"/>
      <c r="X349" s="492"/>
      <c r="Y349" s="492"/>
      <c r="Z349" s="492"/>
      <c r="AA349" s="492"/>
      <c r="AB349" s="493"/>
      <c r="AC349" s="494"/>
      <c r="AD349" s="486" t="s">
        <v>1246</v>
      </c>
      <c r="AE349" s="458">
        <v>25</v>
      </c>
      <c r="AI349" s="501"/>
      <c r="AJ349" s="489"/>
      <c r="AK349" s="490" t="s">
        <v>1247</v>
      </c>
    </row>
    <row r="350" spans="1:37" x14ac:dyDescent="0.25">
      <c r="A350" s="757" t="s">
        <v>1383</v>
      </c>
      <c r="B350" s="484"/>
      <c r="C350" s="485"/>
      <c r="D350" s="485"/>
      <c r="E350" s="485"/>
      <c r="F350" s="485"/>
      <c r="G350" s="486" t="s">
        <v>1210</v>
      </c>
      <c r="H350" s="487">
        <v>1</v>
      </c>
      <c r="I350" s="484"/>
      <c r="J350" s="485"/>
      <c r="K350" s="485"/>
      <c r="L350" s="485"/>
      <c r="M350" s="485"/>
      <c r="N350" s="486"/>
      <c r="O350" s="487"/>
      <c r="P350" s="492"/>
      <c r="Q350" s="492"/>
      <c r="R350" s="492"/>
      <c r="S350" s="492"/>
      <c r="T350" s="492"/>
      <c r="U350" s="493"/>
      <c r="V350" s="493"/>
      <c r="W350" s="491"/>
      <c r="X350" s="492"/>
      <c r="Y350" s="492"/>
      <c r="Z350" s="492"/>
      <c r="AA350" s="492"/>
      <c r="AB350" s="493"/>
      <c r="AC350" s="494"/>
      <c r="AD350" s="754" t="s">
        <v>1252</v>
      </c>
      <c r="AE350" s="458">
        <v>25</v>
      </c>
      <c r="AI350" s="501"/>
      <c r="AJ350" s="489"/>
      <c r="AK350" s="490" t="s">
        <v>1245</v>
      </c>
    </row>
    <row r="351" spans="1:37" x14ac:dyDescent="0.25">
      <c r="A351" s="757" t="s">
        <v>1385</v>
      </c>
      <c r="B351" s="484" t="s">
        <v>56</v>
      </c>
      <c r="C351" s="485"/>
      <c r="D351" s="485" t="s">
        <v>66</v>
      </c>
      <c r="E351" s="485"/>
      <c r="F351" s="485"/>
      <c r="G351" s="486" t="s">
        <v>1210</v>
      </c>
      <c r="H351" s="487">
        <v>1</v>
      </c>
      <c r="I351" s="484"/>
      <c r="J351" s="485"/>
      <c r="K351" s="485"/>
      <c r="L351" s="485"/>
      <c r="M351" s="485"/>
      <c r="N351" s="486"/>
      <c r="O351" s="487"/>
      <c r="P351" s="492"/>
      <c r="Q351" s="492"/>
      <c r="R351" s="492"/>
      <c r="S351" s="492"/>
      <c r="T351" s="492"/>
      <c r="U351" s="493"/>
      <c r="V351" s="493"/>
      <c r="W351" s="491"/>
      <c r="X351" s="492"/>
      <c r="Y351" s="492"/>
      <c r="Z351" s="492"/>
      <c r="AA351" s="492"/>
      <c r="AB351" s="493"/>
      <c r="AC351" s="494"/>
      <c r="AD351" s="754" t="s">
        <v>1252</v>
      </c>
      <c r="AE351" s="458">
        <v>25</v>
      </c>
      <c r="AI351" s="501"/>
      <c r="AJ351" s="489"/>
      <c r="AK351" s="490" t="s">
        <v>1245</v>
      </c>
    </row>
    <row r="352" spans="1:37" x14ac:dyDescent="0.25">
      <c r="A352" s="757" t="s">
        <v>1387</v>
      </c>
      <c r="B352" s="484"/>
      <c r="C352" s="485"/>
      <c r="D352" s="485"/>
      <c r="E352" s="485"/>
      <c r="F352" s="485"/>
      <c r="G352" s="486" t="s">
        <v>1210</v>
      </c>
      <c r="H352" s="487">
        <v>1</v>
      </c>
      <c r="I352" s="484"/>
      <c r="J352" s="485"/>
      <c r="K352" s="485"/>
      <c r="L352" s="485"/>
      <c r="M352" s="485"/>
      <c r="N352" s="486"/>
      <c r="O352" s="487"/>
      <c r="P352" s="492"/>
      <c r="Q352" s="492"/>
      <c r="R352" s="492"/>
      <c r="S352" s="492"/>
      <c r="T352" s="492"/>
      <c r="U352" s="493"/>
      <c r="V352" s="493"/>
      <c r="W352" s="491"/>
      <c r="X352" s="492"/>
      <c r="Y352" s="492"/>
      <c r="Z352" s="492"/>
      <c r="AA352" s="492"/>
      <c r="AB352" s="493"/>
      <c r="AC352" s="494"/>
      <c r="AD352" s="754" t="s">
        <v>1252</v>
      </c>
      <c r="AE352" s="458">
        <v>25</v>
      </c>
      <c r="AI352" s="501"/>
      <c r="AJ352" s="489"/>
      <c r="AK352" s="490" t="s">
        <v>1245</v>
      </c>
    </row>
    <row r="353" spans="1:37" s="458" customFormat="1" x14ac:dyDescent="0.25">
      <c r="A353" s="756"/>
      <c r="B353" s="484"/>
      <c r="C353" s="485"/>
      <c r="D353" s="485"/>
      <c r="E353" s="485"/>
      <c r="F353" s="485"/>
      <c r="G353" s="486"/>
      <c r="H353" s="487"/>
      <c r="I353" s="484"/>
      <c r="J353" s="485"/>
      <c r="K353" s="485"/>
      <c r="L353" s="485"/>
      <c r="M353" s="485"/>
      <c r="N353" s="486"/>
      <c r="O353" s="487"/>
      <c r="P353" s="485"/>
      <c r="Q353" s="485"/>
      <c r="R353" s="485"/>
      <c r="S353" s="485"/>
      <c r="T353" s="485"/>
      <c r="U353" s="486"/>
      <c r="V353" s="486"/>
      <c r="W353" s="484"/>
      <c r="X353" s="485"/>
      <c r="Y353" s="485"/>
      <c r="Z353" s="485"/>
      <c r="AA353" s="485"/>
      <c r="AB353" s="486"/>
      <c r="AC353" s="487"/>
      <c r="AD353" s="499"/>
      <c r="AI353" s="501"/>
      <c r="AJ353" s="489"/>
      <c r="AK353" s="490"/>
    </row>
    <row r="354" spans="1:37" x14ac:dyDescent="0.25">
      <c r="A354" s="483" t="s">
        <v>906</v>
      </c>
      <c r="B354" s="502"/>
      <c r="C354" s="485"/>
      <c r="D354" s="485"/>
      <c r="E354" s="485"/>
      <c r="F354" s="485"/>
      <c r="G354" s="486"/>
      <c r="H354" s="487">
        <v>1</v>
      </c>
      <c r="I354" s="503"/>
      <c r="J354" s="492"/>
      <c r="K354" s="492"/>
      <c r="L354" s="492"/>
      <c r="M354" s="492"/>
      <c r="N354" s="493"/>
      <c r="O354" s="494"/>
      <c r="P354" s="504"/>
      <c r="Q354" s="492"/>
      <c r="R354" s="492"/>
      <c r="S354" s="492"/>
      <c r="T354" s="492"/>
      <c r="U354" s="493"/>
      <c r="V354" s="493"/>
      <c r="W354" s="503"/>
      <c r="X354" s="492"/>
      <c r="Y354" s="492"/>
      <c r="Z354" s="492"/>
      <c r="AA354" s="492"/>
      <c r="AB354" s="493"/>
      <c r="AC354" s="494"/>
      <c r="AD354" s="458" t="s">
        <v>1248</v>
      </c>
      <c r="AE354" s="458">
        <v>35</v>
      </c>
      <c r="AI354" s="488"/>
      <c r="AJ354" s="489"/>
      <c r="AK354" s="490" t="s">
        <v>1249</v>
      </c>
    </row>
    <row r="355" spans="1:37" x14ac:dyDescent="0.25">
      <c r="A355" s="483" t="s">
        <v>908</v>
      </c>
      <c r="B355" s="502"/>
      <c r="C355" s="485"/>
      <c r="D355" s="485"/>
      <c r="E355" s="485"/>
      <c r="F355" s="485"/>
      <c r="G355" s="486"/>
      <c r="H355" s="487">
        <v>1</v>
      </c>
      <c r="I355" s="503"/>
      <c r="J355" s="492"/>
      <c r="K355" s="492"/>
      <c r="L355" s="492"/>
      <c r="M355" s="492"/>
      <c r="N355" s="493"/>
      <c r="O355" s="494"/>
      <c r="P355" s="504"/>
      <c r="Q355" s="492"/>
      <c r="R355" s="492"/>
      <c r="S355" s="492"/>
      <c r="T355" s="492"/>
      <c r="U355" s="493"/>
      <c r="V355" s="493"/>
      <c r="W355" s="503"/>
      <c r="X355" s="492"/>
      <c r="Y355" s="492"/>
      <c r="Z355" s="492"/>
      <c r="AA355" s="492"/>
      <c r="AB355" s="493"/>
      <c r="AC355" s="494"/>
      <c r="AD355" s="458" t="s">
        <v>1248</v>
      </c>
      <c r="AE355" s="458">
        <v>35</v>
      </c>
      <c r="AI355" s="488"/>
      <c r="AJ355" s="489"/>
      <c r="AK355" s="490" t="s">
        <v>1249</v>
      </c>
    </row>
    <row r="356" spans="1:37" x14ac:dyDescent="0.25">
      <c r="A356" s="483" t="s">
        <v>909</v>
      </c>
      <c r="B356" s="502"/>
      <c r="C356" s="485"/>
      <c r="D356" s="485"/>
      <c r="E356" s="485"/>
      <c r="F356" s="485"/>
      <c r="G356" s="486"/>
      <c r="H356" s="487">
        <v>1</v>
      </c>
      <c r="I356" s="503"/>
      <c r="J356" s="492"/>
      <c r="K356" s="492"/>
      <c r="L356" s="492"/>
      <c r="M356" s="492"/>
      <c r="N356" s="493"/>
      <c r="O356" s="494"/>
      <c r="P356" s="504"/>
      <c r="Q356" s="492"/>
      <c r="R356" s="492"/>
      <c r="S356" s="492"/>
      <c r="T356" s="492"/>
      <c r="U356" s="493"/>
      <c r="V356" s="493"/>
      <c r="W356" s="503"/>
      <c r="X356" s="492"/>
      <c r="Y356" s="492"/>
      <c r="Z356" s="492"/>
      <c r="AA356" s="492"/>
      <c r="AB356" s="493"/>
      <c r="AC356" s="494"/>
      <c r="AD356" s="458" t="s">
        <v>1248</v>
      </c>
      <c r="AE356" s="458">
        <v>35</v>
      </c>
      <c r="AI356" s="488"/>
      <c r="AJ356" s="489"/>
      <c r="AK356" s="490" t="s">
        <v>1249</v>
      </c>
    </row>
    <row r="357" spans="1:37" x14ac:dyDescent="0.25">
      <c r="A357" s="483" t="s">
        <v>910</v>
      </c>
      <c r="B357" s="502"/>
      <c r="C357" s="485"/>
      <c r="D357" s="485"/>
      <c r="E357" s="485"/>
      <c r="F357" s="485"/>
      <c r="G357" s="486"/>
      <c r="H357" s="487">
        <v>1</v>
      </c>
      <c r="I357" s="503"/>
      <c r="J357" s="492"/>
      <c r="K357" s="492"/>
      <c r="L357" s="492"/>
      <c r="M357" s="492"/>
      <c r="N357" s="493"/>
      <c r="O357" s="494"/>
      <c r="P357" s="504"/>
      <c r="Q357" s="492"/>
      <c r="R357" s="492"/>
      <c r="S357" s="492"/>
      <c r="T357" s="492"/>
      <c r="U357" s="493"/>
      <c r="V357" s="493"/>
      <c r="W357" s="503"/>
      <c r="X357" s="492"/>
      <c r="Y357" s="492"/>
      <c r="Z357" s="492"/>
      <c r="AA357" s="492"/>
      <c r="AB357" s="493"/>
      <c r="AC357" s="494"/>
      <c r="AD357" s="458" t="s">
        <v>1248</v>
      </c>
      <c r="AE357" s="458">
        <v>35</v>
      </c>
      <c r="AI357" s="488"/>
      <c r="AJ357" s="489"/>
      <c r="AK357" s="490" t="s">
        <v>1249</v>
      </c>
    </row>
    <row r="358" spans="1:37" x14ac:dyDescent="0.25">
      <c r="A358" s="483" t="s">
        <v>911</v>
      </c>
      <c r="B358" s="502"/>
      <c r="C358" s="485"/>
      <c r="D358" s="485"/>
      <c r="E358" s="485"/>
      <c r="F358" s="485"/>
      <c r="G358" s="486"/>
      <c r="H358" s="487">
        <v>1</v>
      </c>
      <c r="I358" s="503"/>
      <c r="J358" s="492"/>
      <c r="K358" s="492"/>
      <c r="L358" s="492"/>
      <c r="M358" s="492"/>
      <c r="N358" s="493"/>
      <c r="O358" s="494"/>
      <c r="P358" s="504"/>
      <c r="Q358" s="492"/>
      <c r="R358" s="492"/>
      <c r="S358" s="492"/>
      <c r="T358" s="492"/>
      <c r="U358" s="493"/>
      <c r="V358" s="493"/>
      <c r="W358" s="503"/>
      <c r="X358" s="492"/>
      <c r="Y358" s="492"/>
      <c r="Z358" s="492"/>
      <c r="AA358" s="492"/>
      <c r="AB358" s="493"/>
      <c r="AC358" s="494"/>
      <c r="AD358" s="458" t="s">
        <v>1248</v>
      </c>
      <c r="AE358" s="458">
        <v>35</v>
      </c>
      <c r="AI358" s="488"/>
      <c r="AJ358" s="490">
        <v>513</v>
      </c>
      <c r="AK358" s="490" t="s">
        <v>1249</v>
      </c>
    </row>
    <row r="359" spans="1:37" x14ac:dyDescent="0.25">
      <c r="A359" s="483" t="s">
        <v>913</v>
      </c>
      <c r="B359" s="502"/>
      <c r="C359" s="485"/>
      <c r="D359" s="485"/>
      <c r="E359" s="485"/>
      <c r="F359" s="485" t="s">
        <v>56</v>
      </c>
      <c r="G359" s="486"/>
      <c r="H359" s="487">
        <v>1</v>
      </c>
      <c r="I359" s="503"/>
      <c r="J359" s="492"/>
      <c r="K359" s="492"/>
      <c r="L359" s="492"/>
      <c r="M359" s="492"/>
      <c r="N359" s="493"/>
      <c r="O359" s="494"/>
      <c r="P359" s="504"/>
      <c r="Q359" s="492"/>
      <c r="R359" s="492"/>
      <c r="S359" s="492"/>
      <c r="T359" s="492"/>
      <c r="U359" s="493"/>
      <c r="V359" s="493"/>
      <c r="W359" s="503"/>
      <c r="X359" s="492"/>
      <c r="Y359" s="492"/>
      <c r="Z359" s="492"/>
      <c r="AA359" s="492"/>
      <c r="AB359" s="493"/>
      <c r="AC359" s="494"/>
      <c r="AD359" s="458" t="s">
        <v>1248</v>
      </c>
      <c r="AE359" s="458">
        <v>35</v>
      </c>
      <c r="AI359" s="488"/>
      <c r="AJ359" s="489"/>
      <c r="AK359" s="490" t="s">
        <v>1249</v>
      </c>
    </row>
    <row r="360" spans="1:37" x14ac:dyDescent="0.25">
      <c r="A360" s="483" t="s">
        <v>915</v>
      </c>
      <c r="B360" s="502"/>
      <c r="C360" s="485"/>
      <c r="D360" s="485"/>
      <c r="E360" s="485"/>
      <c r="F360" s="485"/>
      <c r="G360" s="486"/>
      <c r="H360" s="487">
        <v>2</v>
      </c>
      <c r="I360" s="503"/>
      <c r="J360" s="492"/>
      <c r="K360" s="492"/>
      <c r="L360" s="492"/>
      <c r="M360" s="492"/>
      <c r="N360" s="493"/>
      <c r="O360" s="494"/>
      <c r="P360" s="504"/>
      <c r="Q360" s="492"/>
      <c r="R360" s="492"/>
      <c r="S360" s="492"/>
      <c r="T360" s="492"/>
      <c r="U360" s="493"/>
      <c r="V360" s="493"/>
      <c r="W360" s="503"/>
      <c r="X360" s="492"/>
      <c r="Y360" s="492"/>
      <c r="Z360" s="492"/>
      <c r="AA360" s="492"/>
      <c r="AB360" s="493"/>
      <c r="AC360" s="494"/>
      <c r="AD360" s="458" t="s">
        <v>1248</v>
      </c>
      <c r="AE360" s="458">
        <v>35</v>
      </c>
      <c r="AI360" s="488"/>
      <c r="AJ360" s="489"/>
      <c r="AK360" s="490" t="s">
        <v>1249</v>
      </c>
    </row>
    <row r="361" spans="1:37" x14ac:dyDescent="0.25">
      <c r="A361" s="483" t="s">
        <v>917</v>
      </c>
      <c r="B361" s="502"/>
      <c r="C361" s="485"/>
      <c r="D361" s="485"/>
      <c r="E361" s="485"/>
      <c r="F361" s="485"/>
      <c r="G361" s="486"/>
      <c r="H361" s="487">
        <v>2</v>
      </c>
      <c r="I361" s="503"/>
      <c r="J361" s="492"/>
      <c r="K361" s="492"/>
      <c r="L361" s="492"/>
      <c r="M361" s="492"/>
      <c r="N361" s="493"/>
      <c r="O361" s="494"/>
      <c r="P361" s="504"/>
      <c r="Q361" s="492"/>
      <c r="R361" s="492"/>
      <c r="S361" s="492"/>
      <c r="T361" s="492"/>
      <c r="U361" s="493"/>
      <c r="V361" s="493"/>
      <c r="W361" s="503"/>
      <c r="X361" s="492"/>
      <c r="Y361" s="492"/>
      <c r="Z361" s="492"/>
      <c r="AA361" s="492"/>
      <c r="AB361" s="493"/>
      <c r="AC361" s="494"/>
      <c r="AD361" s="458" t="s">
        <v>1248</v>
      </c>
      <c r="AE361" s="458">
        <v>35</v>
      </c>
      <c r="AI361" s="488"/>
      <c r="AJ361" s="489"/>
      <c r="AK361" s="490" t="s">
        <v>1249</v>
      </c>
    </row>
    <row r="362" spans="1:37" x14ac:dyDescent="0.25">
      <c r="A362" s="505" t="s">
        <v>919</v>
      </c>
      <c r="B362" s="506"/>
      <c r="C362" s="458"/>
      <c r="D362" s="458"/>
      <c r="E362" s="458"/>
      <c r="F362" s="458"/>
      <c r="G362" s="458"/>
      <c r="H362" s="507">
        <v>1</v>
      </c>
      <c r="I362" s="508"/>
      <c r="J362" s="509"/>
      <c r="K362" s="509"/>
      <c r="L362" s="509"/>
      <c r="M362" s="509"/>
      <c r="N362" s="509"/>
      <c r="O362" s="510"/>
      <c r="P362" s="511"/>
      <c r="Q362" s="509"/>
      <c r="R362" s="509"/>
      <c r="S362" s="509"/>
      <c r="T362" s="509"/>
      <c r="U362" s="509"/>
      <c r="V362" s="509"/>
      <c r="W362" s="508"/>
      <c r="X362" s="509"/>
      <c r="Y362" s="509"/>
      <c r="Z362" s="509"/>
      <c r="AA362" s="509"/>
      <c r="AB362" s="509"/>
      <c r="AC362" s="510"/>
      <c r="AD362" s="458" t="s">
        <v>1248</v>
      </c>
      <c r="AE362" s="458">
        <v>35</v>
      </c>
      <c r="AI362" s="505"/>
      <c r="AJ362" s="489"/>
      <c r="AK362" s="490" t="s">
        <v>1249</v>
      </c>
    </row>
    <row r="363" spans="1:37" x14ac:dyDescent="0.25">
      <c r="A363" s="505" t="s">
        <v>921</v>
      </c>
      <c r="B363" s="506"/>
      <c r="C363" s="458"/>
      <c r="D363" s="458"/>
      <c r="E363" s="458"/>
      <c r="F363" s="458"/>
      <c r="G363" s="458"/>
      <c r="H363" s="507">
        <v>1</v>
      </c>
      <c r="I363" s="508"/>
      <c r="J363" s="509"/>
      <c r="K363" s="509"/>
      <c r="L363" s="509"/>
      <c r="M363" s="509"/>
      <c r="N363" s="509"/>
      <c r="O363" s="510"/>
      <c r="P363" s="511"/>
      <c r="Q363" s="509"/>
      <c r="R363" s="509"/>
      <c r="S363" s="509"/>
      <c r="T363" s="509"/>
      <c r="U363" s="509"/>
      <c r="V363" s="509"/>
      <c r="W363" s="508"/>
      <c r="X363" s="509"/>
      <c r="Y363" s="509"/>
      <c r="Z363" s="509"/>
      <c r="AA363" s="509"/>
      <c r="AB363" s="509"/>
      <c r="AC363" s="510"/>
      <c r="AD363" s="458" t="s">
        <v>1248</v>
      </c>
      <c r="AE363" s="458">
        <v>35</v>
      </c>
      <c r="AI363" s="505"/>
      <c r="AJ363" s="490">
        <v>532</v>
      </c>
      <c r="AK363" s="490" t="s">
        <v>1249</v>
      </c>
    </row>
    <row r="364" spans="1:37" x14ac:dyDescent="0.25">
      <c r="A364" s="505" t="s">
        <v>923</v>
      </c>
      <c r="B364" s="506"/>
      <c r="C364" s="458"/>
      <c r="D364" s="458"/>
      <c r="E364" s="458"/>
      <c r="F364" s="458"/>
      <c r="G364" s="458"/>
      <c r="H364" s="507">
        <v>1</v>
      </c>
      <c r="I364" s="508"/>
      <c r="J364" s="509"/>
      <c r="K364" s="509"/>
      <c r="L364" s="509"/>
      <c r="M364" s="509"/>
      <c r="N364" s="509"/>
      <c r="O364" s="510"/>
      <c r="P364" s="511"/>
      <c r="Q364" s="509"/>
      <c r="R364" s="509"/>
      <c r="S364" s="509"/>
      <c r="T364" s="509"/>
      <c r="U364" s="509"/>
      <c r="V364" s="509"/>
      <c r="W364" s="508"/>
      <c r="X364" s="509"/>
      <c r="Y364" s="509"/>
      <c r="Z364" s="509"/>
      <c r="AA364" s="509"/>
      <c r="AB364" s="509"/>
      <c r="AC364" s="510"/>
      <c r="AD364" s="458" t="s">
        <v>1248</v>
      </c>
      <c r="AE364" s="458">
        <v>35</v>
      </c>
      <c r="AI364" s="505"/>
      <c r="AJ364" s="489"/>
      <c r="AK364" s="490" t="s">
        <v>1249</v>
      </c>
    </row>
    <row r="365" spans="1:37" x14ac:dyDescent="0.25">
      <c r="A365" s="505" t="s">
        <v>925</v>
      </c>
      <c r="B365" s="506"/>
      <c r="C365" s="458"/>
      <c r="D365" s="458"/>
      <c r="E365" s="458"/>
      <c r="F365" s="458"/>
      <c r="G365" s="458"/>
      <c r="H365" s="507">
        <v>1</v>
      </c>
      <c r="I365" s="508"/>
      <c r="J365" s="509"/>
      <c r="K365" s="509"/>
      <c r="L365" s="509"/>
      <c r="M365" s="509"/>
      <c r="N365" s="509"/>
      <c r="O365" s="510"/>
      <c r="P365" s="511"/>
      <c r="Q365" s="509"/>
      <c r="R365" s="509"/>
      <c r="S365" s="509"/>
      <c r="T365" s="509"/>
      <c r="U365" s="509"/>
      <c r="V365" s="509"/>
      <c r="W365" s="508"/>
      <c r="X365" s="509"/>
      <c r="Y365" s="509"/>
      <c r="Z365" s="509"/>
      <c r="AA365" s="509"/>
      <c r="AB365" s="509"/>
      <c r="AC365" s="510"/>
      <c r="AD365" s="458" t="s">
        <v>1248</v>
      </c>
      <c r="AE365" s="458">
        <v>35</v>
      </c>
      <c r="AI365" s="505"/>
      <c r="AJ365" s="489"/>
      <c r="AK365" s="490" t="s">
        <v>1249</v>
      </c>
    </row>
    <row r="366" spans="1:37" x14ac:dyDescent="0.25">
      <c r="A366" s="505" t="s">
        <v>927</v>
      </c>
      <c r="B366" s="506"/>
      <c r="C366" s="458"/>
      <c r="D366" s="458"/>
      <c r="E366" s="458"/>
      <c r="F366" s="458"/>
      <c r="G366" s="458"/>
      <c r="H366" s="507">
        <v>1</v>
      </c>
      <c r="I366" s="508"/>
      <c r="J366" s="509"/>
      <c r="K366" s="509"/>
      <c r="L366" s="509"/>
      <c r="M366" s="509"/>
      <c r="N366" s="509"/>
      <c r="O366" s="510"/>
      <c r="P366" s="511"/>
      <c r="Q366" s="509"/>
      <c r="R366" s="509"/>
      <c r="S366" s="509"/>
      <c r="T366" s="509"/>
      <c r="U366" s="509"/>
      <c r="V366" s="509"/>
      <c r="W366" s="508"/>
      <c r="X366" s="509"/>
      <c r="Y366" s="509"/>
      <c r="Z366" s="509"/>
      <c r="AA366" s="509"/>
      <c r="AB366" s="509"/>
      <c r="AC366" s="510"/>
      <c r="AD366" s="458" t="s">
        <v>1248</v>
      </c>
      <c r="AE366" s="458">
        <v>35</v>
      </c>
      <c r="AI366" s="505"/>
      <c r="AJ366" s="489"/>
      <c r="AK366" s="490" t="s">
        <v>1249</v>
      </c>
    </row>
    <row r="367" spans="1:37" x14ac:dyDescent="0.25">
      <c r="A367" s="505" t="s">
        <v>1344</v>
      </c>
      <c r="B367" s="506"/>
      <c r="C367" s="458"/>
      <c r="D367" s="458"/>
      <c r="E367" s="458"/>
      <c r="F367" s="458"/>
      <c r="G367" s="458"/>
      <c r="H367" s="507"/>
      <c r="I367" s="508"/>
      <c r="J367" s="509"/>
      <c r="K367" s="509"/>
      <c r="L367" s="509"/>
      <c r="M367" s="509"/>
      <c r="N367" s="509"/>
      <c r="O367" s="510"/>
      <c r="P367" s="511"/>
      <c r="Q367" s="509"/>
      <c r="R367" s="509"/>
      <c r="S367" s="509"/>
      <c r="T367" s="509"/>
      <c r="U367" s="509"/>
      <c r="V367" s="509"/>
      <c r="W367" s="508"/>
      <c r="X367" s="509"/>
      <c r="Y367" s="509"/>
      <c r="Z367" s="509"/>
      <c r="AA367" s="509"/>
      <c r="AB367" s="509"/>
      <c r="AC367" s="510"/>
      <c r="AD367" s="458" t="s">
        <v>1248</v>
      </c>
      <c r="AE367" s="458">
        <v>35</v>
      </c>
      <c r="AI367" s="505"/>
      <c r="AJ367" s="489"/>
      <c r="AK367" s="490" t="s">
        <v>1249</v>
      </c>
    </row>
    <row r="368" spans="1:37" x14ac:dyDescent="0.25">
      <c r="A368" s="500" t="s">
        <v>929</v>
      </c>
      <c r="B368" s="502"/>
      <c r="C368" s="485"/>
      <c r="D368" s="485"/>
      <c r="E368" s="485"/>
      <c r="F368" s="485"/>
      <c r="G368" s="486"/>
      <c r="H368" s="487">
        <v>1</v>
      </c>
      <c r="I368" s="503"/>
      <c r="J368" s="492"/>
      <c r="K368" s="492"/>
      <c r="L368" s="492"/>
      <c r="M368" s="492"/>
      <c r="N368" s="493"/>
      <c r="O368" s="494"/>
      <c r="P368" s="504"/>
      <c r="Q368" s="492"/>
      <c r="R368" s="492"/>
      <c r="S368" s="492"/>
      <c r="T368" s="492"/>
      <c r="U368" s="493"/>
      <c r="V368" s="493"/>
      <c r="W368" s="503"/>
      <c r="X368" s="492"/>
      <c r="Y368" s="492"/>
      <c r="Z368" s="492"/>
      <c r="AA368" s="492"/>
      <c r="AB368" s="493"/>
      <c r="AC368" s="494"/>
      <c r="AD368" s="458" t="s">
        <v>1248</v>
      </c>
      <c r="AE368" s="458">
        <v>35</v>
      </c>
      <c r="AI368" s="501"/>
      <c r="AJ368" s="490">
        <v>514</v>
      </c>
      <c r="AK368" s="490" t="s">
        <v>1249</v>
      </c>
    </row>
    <row r="369" spans="1:37" x14ac:dyDescent="0.25">
      <c r="A369" s="483" t="s">
        <v>931</v>
      </c>
      <c r="B369" s="502"/>
      <c r="C369" s="485"/>
      <c r="D369" s="485"/>
      <c r="E369" s="485"/>
      <c r="F369" s="485"/>
      <c r="G369" s="486"/>
      <c r="H369" s="487">
        <v>1</v>
      </c>
      <c r="I369" s="503"/>
      <c r="J369" s="492"/>
      <c r="K369" s="492"/>
      <c r="L369" s="492"/>
      <c r="M369" s="492"/>
      <c r="N369" s="493"/>
      <c r="O369" s="494"/>
      <c r="P369" s="504"/>
      <c r="Q369" s="492"/>
      <c r="R369" s="492"/>
      <c r="S369" s="492"/>
      <c r="T369" s="492"/>
      <c r="U369" s="493"/>
      <c r="V369" s="493"/>
      <c r="W369" s="503"/>
      <c r="X369" s="492"/>
      <c r="Y369" s="492"/>
      <c r="Z369" s="492"/>
      <c r="AA369" s="492"/>
      <c r="AB369" s="493"/>
      <c r="AC369" s="494"/>
      <c r="AD369" s="458" t="s">
        <v>1248</v>
      </c>
      <c r="AE369" s="458">
        <v>35</v>
      </c>
      <c r="AI369" s="488"/>
      <c r="AJ369" s="489"/>
      <c r="AK369" s="490" t="s">
        <v>1249</v>
      </c>
    </row>
    <row r="370" spans="1:37" x14ac:dyDescent="0.25">
      <c r="A370" s="483" t="s">
        <v>933</v>
      </c>
      <c r="B370" s="502"/>
      <c r="C370" s="485"/>
      <c r="D370" s="485"/>
      <c r="E370" s="485"/>
      <c r="F370" s="485"/>
      <c r="G370" s="486"/>
      <c r="H370" s="487">
        <v>1</v>
      </c>
      <c r="I370" s="503"/>
      <c r="J370" s="492"/>
      <c r="K370" s="492"/>
      <c r="L370" s="492"/>
      <c r="M370" s="492"/>
      <c r="N370" s="493"/>
      <c r="O370" s="494"/>
      <c r="P370" s="504"/>
      <c r="Q370" s="492"/>
      <c r="R370" s="492"/>
      <c r="S370" s="492"/>
      <c r="T370" s="492"/>
      <c r="U370" s="493"/>
      <c r="V370" s="493"/>
      <c r="W370" s="503"/>
      <c r="X370" s="492"/>
      <c r="Y370" s="492"/>
      <c r="Z370" s="492"/>
      <c r="AA370" s="492"/>
      <c r="AB370" s="493"/>
      <c r="AC370" s="494"/>
      <c r="AD370" s="458" t="s">
        <v>1248</v>
      </c>
      <c r="AE370" s="458">
        <v>35</v>
      </c>
      <c r="AI370" s="488"/>
      <c r="AJ370" s="489"/>
      <c r="AK370" s="490" t="s">
        <v>1249</v>
      </c>
    </row>
    <row r="371" spans="1:37" x14ac:dyDescent="0.25">
      <c r="A371" s="483" t="s">
        <v>935</v>
      </c>
      <c r="B371" s="502"/>
      <c r="C371" s="485"/>
      <c r="D371" s="485"/>
      <c r="E371" s="485"/>
      <c r="F371" s="485"/>
      <c r="G371" s="486"/>
      <c r="H371" s="487">
        <v>1</v>
      </c>
      <c r="I371" s="503"/>
      <c r="J371" s="492"/>
      <c r="K371" s="492"/>
      <c r="L371" s="492"/>
      <c r="M371" s="492"/>
      <c r="N371" s="493"/>
      <c r="O371" s="494"/>
      <c r="P371" s="504"/>
      <c r="Q371" s="492"/>
      <c r="R371" s="492"/>
      <c r="S371" s="492"/>
      <c r="T371" s="492"/>
      <c r="U371" s="493"/>
      <c r="V371" s="493"/>
      <c r="W371" s="503"/>
      <c r="X371" s="492"/>
      <c r="Y371" s="492"/>
      <c r="Z371" s="492"/>
      <c r="AA371" s="492"/>
      <c r="AB371" s="493"/>
      <c r="AC371" s="494"/>
      <c r="AD371" s="458" t="s">
        <v>1248</v>
      </c>
      <c r="AE371" s="458">
        <v>35</v>
      </c>
      <c r="AI371" s="501"/>
      <c r="AJ371" s="489"/>
      <c r="AK371" s="490" t="s">
        <v>1249</v>
      </c>
    </row>
    <row r="372" spans="1:37" x14ac:dyDescent="0.25">
      <c r="A372" s="483" t="s">
        <v>937</v>
      </c>
      <c r="B372" s="502"/>
      <c r="C372" s="485"/>
      <c r="D372" s="485"/>
      <c r="E372" s="485"/>
      <c r="F372" s="485"/>
      <c r="G372" s="486"/>
      <c r="H372" s="487">
        <v>1</v>
      </c>
      <c r="I372" s="503"/>
      <c r="J372" s="492"/>
      <c r="K372" s="492"/>
      <c r="L372" s="492"/>
      <c r="M372" s="492"/>
      <c r="N372" s="493"/>
      <c r="O372" s="494"/>
      <c r="P372" s="504"/>
      <c r="Q372" s="492"/>
      <c r="R372" s="492"/>
      <c r="S372" s="492"/>
      <c r="T372" s="492"/>
      <c r="U372" s="493"/>
      <c r="V372" s="493"/>
      <c r="W372" s="503"/>
      <c r="X372" s="492"/>
      <c r="Y372" s="492"/>
      <c r="Z372" s="492"/>
      <c r="AA372" s="492"/>
      <c r="AB372" s="493"/>
      <c r="AC372" s="494"/>
      <c r="AD372" s="458" t="s">
        <v>1248</v>
      </c>
      <c r="AE372" s="458">
        <v>35</v>
      </c>
      <c r="AI372" s="501"/>
      <c r="AJ372" s="489"/>
      <c r="AK372" s="490" t="s">
        <v>1249</v>
      </c>
    </row>
    <row r="373" spans="1:37" x14ac:dyDescent="0.25">
      <c r="A373" s="483"/>
      <c r="B373" s="502"/>
      <c r="C373" s="485"/>
      <c r="D373" s="485"/>
      <c r="E373" s="485"/>
      <c r="F373" s="485"/>
      <c r="G373" s="486"/>
      <c r="H373" s="487"/>
      <c r="I373" s="502"/>
      <c r="J373" s="485"/>
      <c r="K373" s="485"/>
      <c r="L373" s="485"/>
      <c r="M373" s="485"/>
      <c r="N373" s="486"/>
      <c r="O373" s="487"/>
      <c r="P373" s="512"/>
      <c r="Q373" s="485"/>
      <c r="R373" s="485"/>
      <c r="S373" s="485"/>
      <c r="T373" s="485"/>
      <c r="U373" s="486"/>
      <c r="V373" s="486"/>
      <c r="W373" s="502"/>
      <c r="X373" s="485"/>
      <c r="Y373" s="485"/>
      <c r="Z373" s="485"/>
      <c r="AA373" s="485"/>
      <c r="AB373" s="486"/>
      <c r="AC373" s="487"/>
      <c r="AD373" s="458"/>
      <c r="AE373" s="458"/>
      <c r="AI373" s="501"/>
      <c r="AJ373" s="489"/>
      <c r="AK373" s="490"/>
    </row>
    <row r="374" spans="1:37" x14ac:dyDescent="0.25">
      <c r="A374" s="483" t="s">
        <v>943</v>
      </c>
      <c r="B374" s="491"/>
      <c r="C374" s="492"/>
      <c r="D374" s="492"/>
      <c r="E374" s="492"/>
      <c r="F374" s="492"/>
      <c r="G374" s="493"/>
      <c r="H374" s="494"/>
      <c r="I374" s="484"/>
      <c r="J374" s="485"/>
      <c r="K374" s="485"/>
      <c r="L374" s="485"/>
      <c r="M374" s="485"/>
      <c r="N374" s="486"/>
      <c r="O374" s="487">
        <v>1</v>
      </c>
      <c r="P374" s="492"/>
      <c r="Q374" s="492"/>
      <c r="R374" s="492"/>
      <c r="S374" s="492"/>
      <c r="T374" s="492"/>
      <c r="U374" s="493"/>
      <c r="V374" s="493"/>
      <c r="W374" s="491"/>
      <c r="X374" s="492"/>
      <c r="Y374" s="492"/>
      <c r="Z374" s="492"/>
      <c r="AA374" s="492"/>
      <c r="AB374" s="493"/>
      <c r="AC374" s="494"/>
      <c r="AD374" s="486" t="s">
        <v>1250</v>
      </c>
      <c r="AE374" s="458"/>
      <c r="AF374" s="458">
        <v>35</v>
      </c>
      <c r="AI374" s="488"/>
      <c r="AJ374" s="490">
        <v>259</v>
      </c>
      <c r="AK374" s="490" t="s">
        <v>1251</v>
      </c>
    </row>
    <row r="375" spans="1:37" x14ac:dyDescent="0.25">
      <c r="A375" s="483" t="s">
        <v>947</v>
      </c>
      <c r="B375" s="491"/>
      <c r="C375" s="492"/>
      <c r="D375" s="492"/>
      <c r="E375" s="492"/>
      <c r="F375" s="492"/>
      <c r="G375" s="493"/>
      <c r="H375" s="494"/>
      <c r="I375" s="484"/>
      <c r="J375" s="485"/>
      <c r="K375" s="485"/>
      <c r="L375" s="485"/>
      <c r="M375" s="485"/>
      <c r="N375" s="486"/>
      <c r="O375" s="487">
        <v>1</v>
      </c>
      <c r="P375" s="492"/>
      <c r="Q375" s="492"/>
      <c r="R375" s="492"/>
      <c r="S375" s="492"/>
      <c r="T375" s="492"/>
      <c r="U375" s="493"/>
      <c r="V375" s="493"/>
      <c r="W375" s="491"/>
      <c r="X375" s="492"/>
      <c r="Y375" s="492"/>
      <c r="Z375" s="492"/>
      <c r="AA375" s="492"/>
      <c r="AB375" s="493"/>
      <c r="AC375" s="494"/>
      <c r="AD375" s="486" t="s">
        <v>1250</v>
      </c>
      <c r="AE375" s="458"/>
      <c r="AF375" s="458">
        <v>35</v>
      </c>
      <c r="AI375" s="488"/>
      <c r="AJ375" s="490">
        <v>164</v>
      </c>
      <c r="AK375" s="490" t="s">
        <v>1251</v>
      </c>
    </row>
    <row r="376" spans="1:37" x14ac:dyDescent="0.25">
      <c r="A376" s="483" t="s">
        <v>948</v>
      </c>
      <c r="B376" s="491"/>
      <c r="C376" s="492"/>
      <c r="D376" s="492"/>
      <c r="E376" s="492"/>
      <c r="F376" s="492"/>
      <c r="G376" s="493"/>
      <c r="H376" s="494"/>
      <c r="I376" s="484"/>
      <c r="J376" s="485"/>
      <c r="K376" s="485"/>
      <c r="L376" s="485"/>
      <c r="M376" s="485"/>
      <c r="N376" s="486"/>
      <c r="O376" s="487">
        <v>1</v>
      </c>
      <c r="P376" s="492"/>
      <c r="Q376" s="492"/>
      <c r="R376" s="492"/>
      <c r="S376" s="492"/>
      <c r="T376" s="492"/>
      <c r="U376" s="493"/>
      <c r="V376" s="493"/>
      <c r="W376" s="491"/>
      <c r="X376" s="492"/>
      <c r="Y376" s="492"/>
      <c r="Z376" s="492"/>
      <c r="AA376" s="492"/>
      <c r="AB376" s="493"/>
      <c r="AC376" s="494"/>
      <c r="AD376" s="486" t="s">
        <v>1250</v>
      </c>
      <c r="AE376" s="458"/>
      <c r="AF376" s="458">
        <v>35</v>
      </c>
      <c r="AI376" s="488"/>
      <c r="AJ376" s="490">
        <v>162</v>
      </c>
      <c r="AK376" s="490" t="s">
        <v>1251</v>
      </c>
    </row>
    <row r="377" spans="1:37" x14ac:dyDescent="0.25">
      <c r="A377" s="483" t="s">
        <v>949</v>
      </c>
      <c r="B377" s="491"/>
      <c r="C377" s="492"/>
      <c r="D377" s="492"/>
      <c r="E377" s="492"/>
      <c r="F377" s="492"/>
      <c r="G377" s="493"/>
      <c r="H377" s="494"/>
      <c r="I377" s="484"/>
      <c r="J377" s="485"/>
      <c r="K377" s="485"/>
      <c r="L377" s="485"/>
      <c r="M377" s="485"/>
      <c r="N377" s="486"/>
      <c r="O377" s="487">
        <v>1</v>
      </c>
      <c r="P377" s="492"/>
      <c r="Q377" s="492"/>
      <c r="R377" s="492"/>
      <c r="S377" s="492"/>
      <c r="T377" s="492"/>
      <c r="U377" s="493"/>
      <c r="V377" s="493"/>
      <c r="W377" s="491"/>
      <c r="X377" s="492"/>
      <c r="Y377" s="492"/>
      <c r="Z377" s="492"/>
      <c r="AA377" s="492"/>
      <c r="AB377" s="493"/>
      <c r="AC377" s="494"/>
      <c r="AD377" s="486" t="s">
        <v>1250</v>
      </c>
      <c r="AE377" s="458"/>
      <c r="AF377" s="458">
        <v>35</v>
      </c>
      <c r="AI377" s="488"/>
      <c r="AJ377" s="490">
        <v>163</v>
      </c>
      <c r="AK377" s="490" t="s">
        <v>1251</v>
      </c>
    </row>
    <row r="378" spans="1:37" x14ac:dyDescent="0.25">
      <c r="A378" s="483" t="s">
        <v>950</v>
      </c>
      <c r="B378" s="491"/>
      <c r="C378" s="492"/>
      <c r="D378" s="492"/>
      <c r="E378" s="492"/>
      <c r="F378" s="492"/>
      <c r="G378" s="493"/>
      <c r="H378" s="494"/>
      <c r="I378" s="484"/>
      <c r="J378" s="485"/>
      <c r="K378" s="485"/>
      <c r="L378" s="485"/>
      <c r="M378" s="485"/>
      <c r="N378" s="486"/>
      <c r="O378" s="487">
        <v>1</v>
      </c>
      <c r="P378" s="492"/>
      <c r="Q378" s="492"/>
      <c r="R378" s="492"/>
      <c r="S378" s="492"/>
      <c r="T378" s="492"/>
      <c r="U378" s="493"/>
      <c r="V378" s="493"/>
      <c r="W378" s="491"/>
      <c r="X378" s="492"/>
      <c r="Y378" s="492"/>
      <c r="Z378" s="492"/>
      <c r="AA378" s="492"/>
      <c r="AB378" s="493"/>
      <c r="AC378" s="494"/>
      <c r="AD378" s="486" t="s">
        <v>1250</v>
      </c>
      <c r="AE378" s="458"/>
      <c r="AF378" s="458">
        <v>35</v>
      </c>
      <c r="AI378" s="488"/>
      <c r="AJ378" s="490">
        <v>165</v>
      </c>
      <c r="AK378" s="490" t="s">
        <v>1251</v>
      </c>
    </row>
    <row r="379" spans="1:37" x14ac:dyDescent="0.25">
      <c r="A379" s="483" t="s">
        <v>951</v>
      </c>
      <c r="B379" s="491"/>
      <c r="C379" s="492"/>
      <c r="D379" s="492"/>
      <c r="E379" s="492"/>
      <c r="F379" s="492"/>
      <c r="G379" s="493"/>
      <c r="H379" s="494"/>
      <c r="I379" s="484"/>
      <c r="J379" s="485"/>
      <c r="K379" s="485"/>
      <c r="L379" s="485"/>
      <c r="M379" s="485"/>
      <c r="N379" s="486"/>
      <c r="O379" s="487">
        <v>1</v>
      </c>
      <c r="P379" s="492"/>
      <c r="Q379" s="492"/>
      <c r="R379" s="492"/>
      <c r="S379" s="492"/>
      <c r="T379" s="492"/>
      <c r="U379" s="493"/>
      <c r="V379" s="493"/>
      <c r="W379" s="491"/>
      <c r="X379" s="492"/>
      <c r="Y379" s="492"/>
      <c r="Z379" s="492"/>
      <c r="AA379" s="492"/>
      <c r="AB379" s="493"/>
      <c r="AC379" s="494"/>
      <c r="AD379" s="486" t="s">
        <v>1250</v>
      </c>
      <c r="AE379" s="458"/>
      <c r="AF379" s="458">
        <v>35</v>
      </c>
      <c r="AI379" s="488"/>
      <c r="AJ379" s="490">
        <v>161</v>
      </c>
      <c r="AK379" s="490" t="s">
        <v>1251</v>
      </c>
    </row>
    <row r="380" spans="1:37" x14ac:dyDescent="0.25">
      <c r="A380" s="483" t="s">
        <v>952</v>
      </c>
      <c r="B380" s="491"/>
      <c r="C380" s="492"/>
      <c r="D380" s="492"/>
      <c r="E380" s="492"/>
      <c r="F380" s="492"/>
      <c r="G380" s="493"/>
      <c r="H380" s="494"/>
      <c r="I380" s="484"/>
      <c r="J380" s="485"/>
      <c r="K380" s="485"/>
      <c r="L380" s="485"/>
      <c r="M380" s="485"/>
      <c r="N380" s="486"/>
      <c r="O380" s="487">
        <v>1</v>
      </c>
      <c r="P380" s="492"/>
      <c r="Q380" s="492"/>
      <c r="R380" s="492"/>
      <c r="S380" s="492"/>
      <c r="T380" s="492"/>
      <c r="U380" s="493"/>
      <c r="V380" s="493"/>
      <c r="W380" s="491"/>
      <c r="X380" s="492"/>
      <c r="Y380" s="492"/>
      <c r="Z380" s="492"/>
      <c r="AA380" s="492"/>
      <c r="AB380" s="493"/>
      <c r="AC380" s="494"/>
      <c r="AD380" s="486" t="s">
        <v>1250</v>
      </c>
      <c r="AE380" s="458"/>
      <c r="AF380" s="458">
        <v>35</v>
      </c>
      <c r="AI380" s="488"/>
      <c r="AJ380" s="490">
        <v>260</v>
      </c>
      <c r="AK380" s="490" t="s">
        <v>1251</v>
      </c>
    </row>
    <row r="381" spans="1:37" x14ac:dyDescent="0.25">
      <c r="A381" s="483"/>
      <c r="B381" s="484"/>
      <c r="C381" s="485"/>
      <c r="D381" s="485"/>
      <c r="E381" s="485"/>
      <c r="F381" s="485"/>
      <c r="G381" s="486"/>
      <c r="H381" s="487"/>
      <c r="I381" s="484"/>
      <c r="J381" s="485"/>
      <c r="K381" s="485"/>
      <c r="L381" s="485"/>
      <c r="M381" s="485"/>
      <c r="N381" s="486"/>
      <c r="O381" s="487"/>
      <c r="P381" s="485"/>
      <c r="Q381" s="485"/>
      <c r="R381" s="485"/>
      <c r="S381" s="485"/>
      <c r="T381" s="485"/>
      <c r="U381" s="486"/>
      <c r="V381" s="486"/>
      <c r="W381" s="484"/>
      <c r="X381" s="485"/>
      <c r="Y381" s="485"/>
      <c r="Z381" s="485"/>
      <c r="AA381" s="485"/>
      <c r="AB381" s="486"/>
      <c r="AC381" s="487"/>
      <c r="AD381" s="486"/>
      <c r="AE381" s="458"/>
      <c r="AI381" s="488"/>
      <c r="AJ381" s="490"/>
      <c r="AK381" s="490"/>
    </row>
    <row r="382" spans="1:37" x14ac:dyDescent="0.25">
      <c r="A382" s="483" t="s">
        <v>967</v>
      </c>
      <c r="B382" s="491"/>
      <c r="C382" s="492"/>
      <c r="D382" s="492"/>
      <c r="E382" s="492"/>
      <c r="F382" s="492"/>
      <c r="G382" s="493"/>
      <c r="H382" s="494"/>
      <c r="I382" s="484"/>
      <c r="J382" s="485"/>
      <c r="K382" s="485"/>
      <c r="L382" s="485"/>
      <c r="M382" s="485"/>
      <c r="N382" s="486"/>
      <c r="O382" s="487">
        <v>1</v>
      </c>
      <c r="P382" s="492"/>
      <c r="Q382" s="492"/>
      <c r="R382" s="492"/>
      <c r="S382" s="492"/>
      <c r="T382" s="492"/>
      <c r="U382" s="493"/>
      <c r="V382" s="493"/>
      <c r="W382" s="491"/>
      <c r="X382" s="492"/>
      <c r="Y382" s="492"/>
      <c r="Z382" s="492"/>
      <c r="AA382" s="492"/>
      <c r="AB382" s="493"/>
      <c r="AC382" s="494"/>
      <c r="AD382" s="486" t="s">
        <v>1252</v>
      </c>
      <c r="AE382" s="458"/>
      <c r="AF382" s="458">
        <v>35</v>
      </c>
      <c r="AI382" s="488"/>
      <c r="AJ382" s="490">
        <v>265</v>
      </c>
      <c r="AK382" s="490" t="s">
        <v>1251</v>
      </c>
    </row>
    <row r="383" spans="1:37" x14ac:dyDescent="0.25">
      <c r="A383" s="483" t="s">
        <v>969</v>
      </c>
      <c r="B383" s="491"/>
      <c r="C383" s="492"/>
      <c r="D383" s="492"/>
      <c r="E383" s="492"/>
      <c r="F383" s="492"/>
      <c r="G383" s="493"/>
      <c r="H383" s="494"/>
      <c r="I383" s="484"/>
      <c r="J383" s="485"/>
      <c r="K383" s="485"/>
      <c r="L383" s="485"/>
      <c r="M383" s="485"/>
      <c r="N383" s="486"/>
      <c r="O383" s="487">
        <v>1</v>
      </c>
      <c r="P383" s="492"/>
      <c r="Q383" s="492"/>
      <c r="R383" s="492"/>
      <c r="S383" s="492"/>
      <c r="T383" s="492"/>
      <c r="U383" s="493"/>
      <c r="V383" s="493"/>
      <c r="W383" s="491"/>
      <c r="X383" s="492"/>
      <c r="Y383" s="492"/>
      <c r="Z383" s="492"/>
      <c r="AA383" s="492"/>
      <c r="AB383" s="493"/>
      <c r="AC383" s="494"/>
      <c r="AD383" s="486" t="s">
        <v>1252</v>
      </c>
      <c r="AE383" s="458"/>
      <c r="AF383" s="458">
        <v>35</v>
      </c>
      <c r="AI383" s="488"/>
      <c r="AJ383" s="490">
        <v>174</v>
      </c>
      <c r="AK383" s="490" t="s">
        <v>1251</v>
      </c>
    </row>
    <row r="384" spans="1:37" x14ac:dyDescent="0.25">
      <c r="A384" s="483" t="s">
        <v>971</v>
      </c>
      <c r="B384" s="491"/>
      <c r="C384" s="492"/>
      <c r="D384" s="492"/>
      <c r="E384" s="492"/>
      <c r="F384" s="492"/>
      <c r="G384" s="493"/>
      <c r="H384" s="494"/>
      <c r="I384" s="484"/>
      <c r="J384" s="485"/>
      <c r="K384" s="485"/>
      <c r="L384" s="485"/>
      <c r="M384" s="485"/>
      <c r="N384" s="486"/>
      <c r="O384" s="487">
        <v>1</v>
      </c>
      <c r="P384" s="492"/>
      <c r="Q384" s="492"/>
      <c r="R384" s="492"/>
      <c r="S384" s="492"/>
      <c r="T384" s="492"/>
      <c r="U384" s="493"/>
      <c r="V384" s="493"/>
      <c r="W384" s="491"/>
      <c r="X384" s="492"/>
      <c r="Y384" s="492"/>
      <c r="Z384" s="492"/>
      <c r="AA384" s="492"/>
      <c r="AB384" s="493"/>
      <c r="AC384" s="494"/>
      <c r="AD384" s="486" t="s">
        <v>1252</v>
      </c>
      <c r="AE384" s="458"/>
      <c r="AF384" s="458">
        <v>35</v>
      </c>
      <c r="AI384" s="488"/>
      <c r="AJ384" s="490">
        <v>175</v>
      </c>
      <c r="AK384" s="490" t="s">
        <v>1251</v>
      </c>
    </row>
    <row r="385" spans="1:37" x14ac:dyDescent="0.25">
      <c r="A385" s="483" t="s">
        <v>1039</v>
      </c>
      <c r="B385" s="491"/>
      <c r="C385" s="492"/>
      <c r="D385" s="492"/>
      <c r="E385" s="492"/>
      <c r="F385" s="492"/>
      <c r="G385" s="493"/>
      <c r="H385" s="494"/>
      <c r="I385" s="484" t="s">
        <v>66</v>
      </c>
      <c r="J385" s="485" t="s">
        <v>66</v>
      </c>
      <c r="K385" s="485" t="s">
        <v>66</v>
      </c>
      <c r="L385" s="485"/>
      <c r="M385" s="485"/>
      <c r="N385" s="486"/>
      <c r="O385" s="487">
        <v>1</v>
      </c>
      <c r="P385" s="492"/>
      <c r="Q385" s="492"/>
      <c r="R385" s="492"/>
      <c r="S385" s="492"/>
      <c r="T385" s="492"/>
      <c r="U385" s="493"/>
      <c r="V385" s="493"/>
      <c r="W385" s="491"/>
      <c r="X385" s="492"/>
      <c r="Y385" s="492"/>
      <c r="Z385" s="492"/>
      <c r="AA385" s="492"/>
      <c r="AB385" s="493"/>
      <c r="AC385" s="494"/>
      <c r="AD385" s="486" t="s">
        <v>1252</v>
      </c>
      <c r="AE385" s="458"/>
      <c r="AF385" s="458">
        <v>35</v>
      </c>
      <c r="AI385" s="488"/>
      <c r="AJ385" s="489"/>
      <c r="AK385" s="490"/>
    </row>
    <row r="386" spans="1:37" x14ac:dyDescent="0.25">
      <c r="A386" s="483" t="s">
        <v>973</v>
      </c>
      <c r="B386" s="491"/>
      <c r="C386" s="492"/>
      <c r="D386" s="492"/>
      <c r="E386" s="492"/>
      <c r="F386" s="492"/>
      <c r="G386" s="493"/>
      <c r="H386" s="494"/>
      <c r="I386" s="484" t="s">
        <v>66</v>
      </c>
      <c r="J386" s="485"/>
      <c r="K386" s="485" t="s">
        <v>66</v>
      </c>
      <c r="L386" s="485" t="s">
        <v>66</v>
      </c>
      <c r="M386" s="485"/>
      <c r="N386" s="486"/>
      <c r="O386" s="487">
        <v>1</v>
      </c>
      <c r="P386" s="492"/>
      <c r="Q386" s="492"/>
      <c r="R386" s="492"/>
      <c r="S386" s="492"/>
      <c r="T386" s="492"/>
      <c r="U386" s="493"/>
      <c r="V386" s="493"/>
      <c r="W386" s="491"/>
      <c r="X386" s="492"/>
      <c r="Y386" s="492"/>
      <c r="Z386" s="492"/>
      <c r="AA386" s="492"/>
      <c r="AB386" s="493"/>
      <c r="AC386" s="494"/>
      <c r="AD386" s="486" t="s">
        <v>1252</v>
      </c>
      <c r="AE386" s="458"/>
      <c r="AF386" s="458">
        <v>35</v>
      </c>
      <c r="AI386" s="488"/>
      <c r="AJ386" s="490">
        <v>176</v>
      </c>
      <c r="AK386" s="490" t="s">
        <v>1251</v>
      </c>
    </row>
    <row r="387" spans="1:37" x14ac:dyDescent="0.25">
      <c r="A387" s="483" t="s">
        <v>1408</v>
      </c>
      <c r="B387" s="491"/>
      <c r="C387" s="492"/>
      <c r="D387" s="492"/>
      <c r="E387" s="492"/>
      <c r="F387" s="492"/>
      <c r="G387" s="493"/>
      <c r="H387" s="494"/>
      <c r="I387" s="484"/>
      <c r="J387" s="485"/>
      <c r="K387" s="485"/>
      <c r="L387" s="485"/>
      <c r="M387" s="485"/>
      <c r="N387" s="486"/>
      <c r="O387" s="487"/>
      <c r="P387" s="492"/>
      <c r="Q387" s="492"/>
      <c r="R387" s="492"/>
      <c r="S387" s="492"/>
      <c r="T387" s="492"/>
      <c r="U387" s="493"/>
      <c r="V387" s="493"/>
      <c r="W387" s="491"/>
      <c r="X387" s="492"/>
      <c r="Y387" s="492"/>
      <c r="Z387" s="492"/>
      <c r="AA387" s="492"/>
      <c r="AB387" s="493"/>
      <c r="AC387" s="494"/>
      <c r="AD387" s="486" t="s">
        <v>1252</v>
      </c>
      <c r="AE387" s="458"/>
      <c r="AF387" s="458">
        <v>35</v>
      </c>
      <c r="AI387" s="488"/>
      <c r="AJ387" s="490">
        <v>176</v>
      </c>
      <c r="AK387" s="490" t="s">
        <v>1251</v>
      </c>
    </row>
    <row r="388" spans="1:37" x14ac:dyDescent="0.25">
      <c r="A388" s="483" t="s">
        <v>975</v>
      </c>
      <c r="B388" s="491"/>
      <c r="C388" s="492"/>
      <c r="D388" s="492"/>
      <c r="E388" s="492"/>
      <c r="F388" s="492"/>
      <c r="G388" s="493"/>
      <c r="H388" s="494"/>
      <c r="I388" s="484"/>
      <c r="J388" s="485"/>
      <c r="K388" s="485"/>
      <c r="L388" s="485"/>
      <c r="M388" s="485"/>
      <c r="N388" s="486"/>
      <c r="O388" s="487">
        <v>1</v>
      </c>
      <c r="P388" s="492"/>
      <c r="Q388" s="492"/>
      <c r="R388" s="492"/>
      <c r="S388" s="492"/>
      <c r="T388" s="492"/>
      <c r="U388" s="493"/>
      <c r="V388" s="493"/>
      <c r="W388" s="491"/>
      <c r="X388" s="492"/>
      <c r="Y388" s="492"/>
      <c r="Z388" s="492"/>
      <c r="AA388" s="492"/>
      <c r="AB388" s="493"/>
      <c r="AC388" s="494"/>
      <c r="AD388" s="486" t="s">
        <v>1252</v>
      </c>
      <c r="AE388" s="458"/>
      <c r="AF388" s="458">
        <v>35</v>
      </c>
      <c r="AI388" s="488"/>
      <c r="AJ388" s="490">
        <v>178</v>
      </c>
      <c r="AK388" s="490" t="s">
        <v>1251</v>
      </c>
    </row>
    <row r="389" spans="1:37" x14ac:dyDescent="0.25">
      <c r="A389" s="483" t="s">
        <v>1469</v>
      </c>
      <c r="B389" s="491"/>
      <c r="C389" s="492"/>
      <c r="D389" s="492"/>
      <c r="E389" s="492"/>
      <c r="F389" s="492"/>
      <c r="G389" s="493"/>
      <c r="H389" s="494"/>
      <c r="I389" s="484" t="s">
        <v>66</v>
      </c>
      <c r="J389" s="485"/>
      <c r="K389" s="485" t="s">
        <v>66</v>
      </c>
      <c r="L389" s="485"/>
      <c r="M389" s="485"/>
      <c r="N389" s="486"/>
      <c r="O389" s="487"/>
      <c r="P389" s="492"/>
      <c r="Q389" s="492"/>
      <c r="R389" s="492"/>
      <c r="S389" s="492"/>
      <c r="T389" s="492"/>
      <c r="U389" s="493"/>
      <c r="V389" s="493"/>
      <c r="W389" s="491"/>
      <c r="X389" s="492"/>
      <c r="Y389" s="492"/>
      <c r="Z389" s="492"/>
      <c r="AA389" s="492"/>
      <c r="AB389" s="493"/>
      <c r="AC389" s="494"/>
      <c r="AD389" s="486"/>
      <c r="AE389" s="458"/>
      <c r="AF389" s="458"/>
      <c r="AI389" s="488"/>
      <c r="AJ389" s="490"/>
      <c r="AK389" s="490"/>
    </row>
    <row r="390" spans="1:37" x14ac:dyDescent="0.25">
      <c r="A390" s="483" t="s">
        <v>976</v>
      </c>
      <c r="B390" s="491"/>
      <c r="C390" s="492"/>
      <c r="D390" s="492"/>
      <c r="E390" s="492"/>
      <c r="F390" s="492"/>
      <c r="G390" s="493"/>
      <c r="H390" s="494"/>
      <c r="I390" s="484"/>
      <c r="J390" s="485"/>
      <c r="K390" s="485"/>
      <c r="L390" s="485"/>
      <c r="M390" s="485"/>
      <c r="N390" s="486"/>
      <c r="O390" s="487">
        <v>1</v>
      </c>
      <c r="P390" s="492"/>
      <c r="Q390" s="492"/>
      <c r="R390" s="492"/>
      <c r="S390" s="492"/>
      <c r="T390" s="492"/>
      <c r="U390" s="493"/>
      <c r="V390" s="493"/>
      <c r="W390" s="491"/>
      <c r="X390" s="492"/>
      <c r="Y390" s="492"/>
      <c r="Z390" s="492"/>
      <c r="AA390" s="492"/>
      <c r="AB390" s="493"/>
      <c r="AC390" s="494"/>
      <c r="AD390" s="486" t="s">
        <v>1252</v>
      </c>
      <c r="AE390" s="458"/>
      <c r="AF390" s="458">
        <v>35</v>
      </c>
      <c r="AI390" s="488"/>
      <c r="AJ390" s="490">
        <v>179</v>
      </c>
      <c r="AK390" s="490" t="s">
        <v>1251</v>
      </c>
    </row>
    <row r="391" spans="1:37" x14ac:dyDescent="0.25">
      <c r="A391" s="483" t="s">
        <v>978</v>
      </c>
      <c r="B391" s="491"/>
      <c r="C391" s="492"/>
      <c r="D391" s="492"/>
      <c r="E391" s="492"/>
      <c r="F391" s="492"/>
      <c r="G391" s="493"/>
      <c r="H391" s="494"/>
      <c r="I391" s="484"/>
      <c r="J391" s="485"/>
      <c r="K391" s="485"/>
      <c r="L391" s="485"/>
      <c r="M391" s="485"/>
      <c r="N391" s="486"/>
      <c r="O391" s="487">
        <v>1</v>
      </c>
      <c r="P391" s="492"/>
      <c r="Q391" s="492"/>
      <c r="R391" s="492"/>
      <c r="S391" s="492"/>
      <c r="T391" s="492"/>
      <c r="U391" s="493"/>
      <c r="V391" s="493"/>
      <c r="W391" s="491"/>
      <c r="X391" s="492"/>
      <c r="Y391" s="492"/>
      <c r="Z391" s="492"/>
      <c r="AA391" s="492"/>
      <c r="AB391" s="493"/>
      <c r="AC391" s="494"/>
      <c r="AD391" s="486" t="s">
        <v>1252</v>
      </c>
      <c r="AE391" s="458"/>
      <c r="AF391" s="458">
        <v>35</v>
      </c>
      <c r="AI391" s="488"/>
      <c r="AJ391" s="490"/>
      <c r="AK391" s="490" t="s">
        <v>1251</v>
      </c>
    </row>
    <row r="392" spans="1:37" x14ac:dyDescent="0.25">
      <c r="A392" s="483" t="s">
        <v>980</v>
      </c>
      <c r="B392" s="491"/>
      <c r="C392" s="492"/>
      <c r="D392" s="492"/>
      <c r="E392" s="492"/>
      <c r="F392" s="492"/>
      <c r="G392" s="493"/>
      <c r="H392" s="494"/>
      <c r="I392" s="484" t="s">
        <v>66</v>
      </c>
      <c r="J392" s="485" t="s">
        <v>66</v>
      </c>
      <c r="K392" s="485" t="s">
        <v>66</v>
      </c>
      <c r="L392" s="485"/>
      <c r="M392" s="485"/>
      <c r="N392" s="486"/>
      <c r="O392" s="487">
        <v>1</v>
      </c>
      <c r="P392" s="492"/>
      <c r="Q392" s="492"/>
      <c r="R392" s="492"/>
      <c r="S392" s="492"/>
      <c r="T392" s="492"/>
      <c r="U392" s="493"/>
      <c r="V392" s="493"/>
      <c r="W392" s="491"/>
      <c r="X392" s="492"/>
      <c r="Y392" s="492"/>
      <c r="Z392" s="492"/>
      <c r="AA392" s="492"/>
      <c r="AB392" s="493"/>
      <c r="AC392" s="494"/>
      <c r="AD392" s="486" t="s">
        <v>1252</v>
      </c>
      <c r="AE392" s="458"/>
      <c r="AF392" s="458">
        <v>35</v>
      </c>
      <c r="AI392" s="488"/>
      <c r="AJ392" s="490"/>
      <c r="AK392" s="490" t="s">
        <v>1251</v>
      </c>
    </row>
    <row r="393" spans="1:37" x14ac:dyDescent="0.25">
      <c r="A393" s="483" t="s">
        <v>981</v>
      </c>
      <c r="B393" s="491"/>
      <c r="C393" s="492"/>
      <c r="D393" s="492"/>
      <c r="E393" s="492"/>
      <c r="F393" s="492"/>
      <c r="G393" s="493"/>
      <c r="H393" s="494"/>
      <c r="I393" s="484"/>
      <c r="J393" s="485"/>
      <c r="K393" s="485"/>
      <c r="L393" s="485"/>
      <c r="M393" s="485"/>
      <c r="N393" s="486"/>
      <c r="O393" s="487">
        <v>1</v>
      </c>
      <c r="P393" s="492"/>
      <c r="Q393" s="492"/>
      <c r="R393" s="492"/>
      <c r="S393" s="492"/>
      <c r="T393" s="492"/>
      <c r="U393" s="493"/>
      <c r="V393" s="493"/>
      <c r="W393" s="491"/>
      <c r="X393" s="492"/>
      <c r="Y393" s="492"/>
      <c r="Z393" s="492"/>
      <c r="AA393" s="492"/>
      <c r="AB393" s="493"/>
      <c r="AC393" s="494"/>
      <c r="AD393" s="486" t="s">
        <v>1252</v>
      </c>
      <c r="AE393" s="458"/>
      <c r="AF393" s="458">
        <v>35</v>
      </c>
      <c r="AI393" s="488"/>
      <c r="AJ393" s="490">
        <v>266</v>
      </c>
      <c r="AK393" s="490" t="s">
        <v>1251</v>
      </c>
    </row>
    <row r="394" spans="1:37" x14ac:dyDescent="0.25">
      <c r="A394" s="483" t="s">
        <v>982</v>
      </c>
      <c r="B394" s="491"/>
      <c r="C394" s="492"/>
      <c r="D394" s="492"/>
      <c r="E394" s="492"/>
      <c r="F394" s="492"/>
      <c r="G394" s="493"/>
      <c r="H394" s="494"/>
      <c r="I394" s="484" t="s">
        <v>56</v>
      </c>
      <c r="J394" s="485"/>
      <c r="K394" s="485" t="s">
        <v>66</v>
      </c>
      <c r="L394" s="485"/>
      <c r="M394" s="485"/>
      <c r="N394" s="486"/>
      <c r="O394" s="487">
        <v>1</v>
      </c>
      <c r="P394" s="492"/>
      <c r="Q394" s="492"/>
      <c r="R394" s="492"/>
      <c r="S394" s="492"/>
      <c r="T394" s="492"/>
      <c r="U394" s="493"/>
      <c r="V394" s="493"/>
      <c r="W394" s="491"/>
      <c r="X394" s="492"/>
      <c r="Y394" s="492"/>
      <c r="Z394" s="492"/>
      <c r="AA394" s="492"/>
      <c r="AB394" s="493"/>
      <c r="AC394" s="494"/>
      <c r="AD394" s="486" t="s">
        <v>1252</v>
      </c>
      <c r="AE394" s="458"/>
      <c r="AF394" s="458">
        <v>35</v>
      </c>
      <c r="AI394" s="488"/>
      <c r="AJ394" s="490">
        <v>181</v>
      </c>
      <c r="AK394" s="490" t="s">
        <v>1251</v>
      </c>
    </row>
    <row r="395" spans="1:37" x14ac:dyDescent="0.25">
      <c r="A395" s="483" t="s">
        <v>984</v>
      </c>
      <c r="B395" s="491"/>
      <c r="C395" s="492"/>
      <c r="D395" s="492"/>
      <c r="E395" s="492"/>
      <c r="F395" s="492"/>
      <c r="G395" s="493"/>
      <c r="H395" s="494"/>
      <c r="I395" s="484"/>
      <c r="J395" s="485"/>
      <c r="K395" s="485"/>
      <c r="L395" s="485"/>
      <c r="M395" s="485"/>
      <c r="N395" s="486"/>
      <c r="O395" s="487">
        <v>1</v>
      </c>
      <c r="P395" s="492"/>
      <c r="Q395" s="492"/>
      <c r="R395" s="492"/>
      <c r="S395" s="492"/>
      <c r="T395" s="492"/>
      <c r="U395" s="493"/>
      <c r="V395" s="493"/>
      <c r="W395" s="491"/>
      <c r="X395" s="492"/>
      <c r="Y395" s="492"/>
      <c r="Z395" s="492"/>
      <c r="AA395" s="492"/>
      <c r="AB395" s="493"/>
      <c r="AC395" s="494"/>
      <c r="AD395" s="486" t="s">
        <v>1252</v>
      </c>
      <c r="AE395" s="458"/>
      <c r="AF395" s="458">
        <v>35</v>
      </c>
      <c r="AI395" s="488"/>
      <c r="AJ395" s="490">
        <v>267</v>
      </c>
      <c r="AK395" s="490" t="s">
        <v>1251</v>
      </c>
    </row>
    <row r="396" spans="1:37" x14ac:dyDescent="0.25">
      <c r="A396" s="483" t="s">
        <v>985</v>
      </c>
      <c r="B396" s="491"/>
      <c r="C396" s="492"/>
      <c r="D396" s="492"/>
      <c r="E396" s="492"/>
      <c r="F396" s="492"/>
      <c r="G396" s="493"/>
      <c r="H396" s="494"/>
      <c r="I396" s="484"/>
      <c r="J396" s="485"/>
      <c r="K396" s="485"/>
      <c r="L396" s="485"/>
      <c r="M396" s="485"/>
      <c r="N396" s="486"/>
      <c r="O396" s="487">
        <v>1</v>
      </c>
      <c r="P396" s="492"/>
      <c r="Q396" s="492"/>
      <c r="R396" s="492"/>
      <c r="S396" s="492"/>
      <c r="T396" s="492"/>
      <c r="U396" s="493"/>
      <c r="V396" s="493"/>
      <c r="W396" s="491"/>
      <c r="X396" s="492"/>
      <c r="Y396" s="492"/>
      <c r="Z396" s="492"/>
      <c r="AA396" s="492"/>
      <c r="AB396" s="493"/>
      <c r="AC396" s="494"/>
      <c r="AD396" s="486" t="s">
        <v>1252</v>
      </c>
      <c r="AE396" s="458"/>
      <c r="AF396" s="458">
        <v>35</v>
      </c>
      <c r="AI396" s="488"/>
      <c r="AJ396" s="490">
        <v>182</v>
      </c>
      <c r="AK396" s="490" t="s">
        <v>1251</v>
      </c>
    </row>
    <row r="397" spans="1:37" x14ac:dyDescent="0.25">
      <c r="A397" s="483" t="s">
        <v>987</v>
      </c>
      <c r="B397" s="491"/>
      <c r="C397" s="492"/>
      <c r="D397" s="492"/>
      <c r="E397" s="492"/>
      <c r="F397" s="492"/>
      <c r="G397" s="493"/>
      <c r="H397" s="494"/>
      <c r="I397" s="484"/>
      <c r="J397" s="485"/>
      <c r="K397" s="485"/>
      <c r="L397" s="485"/>
      <c r="M397" s="485"/>
      <c r="N397" s="486"/>
      <c r="O397" s="487">
        <v>1</v>
      </c>
      <c r="P397" s="492"/>
      <c r="Q397" s="492"/>
      <c r="R397" s="492"/>
      <c r="S397" s="492"/>
      <c r="T397" s="492"/>
      <c r="U397" s="493"/>
      <c r="V397" s="493"/>
      <c r="W397" s="491"/>
      <c r="X397" s="492"/>
      <c r="Y397" s="492"/>
      <c r="Z397" s="492"/>
      <c r="AA397" s="492"/>
      <c r="AB397" s="493"/>
      <c r="AC397" s="494"/>
      <c r="AD397" s="486" t="s">
        <v>1252</v>
      </c>
      <c r="AE397" s="458"/>
      <c r="AF397" s="458">
        <v>35</v>
      </c>
      <c r="AI397" s="488"/>
      <c r="AJ397" s="490">
        <v>183</v>
      </c>
      <c r="AK397" s="490" t="s">
        <v>1251</v>
      </c>
    </row>
    <row r="398" spans="1:37" x14ac:dyDescent="0.25">
      <c r="A398" s="483" t="s">
        <v>988</v>
      </c>
      <c r="B398" s="491"/>
      <c r="C398" s="492"/>
      <c r="D398" s="492"/>
      <c r="E398" s="492"/>
      <c r="F398" s="492"/>
      <c r="G398" s="493"/>
      <c r="H398" s="494"/>
      <c r="I398" s="484"/>
      <c r="J398" s="485"/>
      <c r="K398" s="485"/>
      <c r="L398" s="485"/>
      <c r="M398" s="485"/>
      <c r="N398" s="486"/>
      <c r="O398" s="487">
        <v>1</v>
      </c>
      <c r="P398" s="492"/>
      <c r="Q398" s="492"/>
      <c r="R398" s="492"/>
      <c r="S398" s="492"/>
      <c r="T398" s="492"/>
      <c r="U398" s="493"/>
      <c r="V398" s="493"/>
      <c r="W398" s="491"/>
      <c r="X398" s="492"/>
      <c r="Y398" s="492"/>
      <c r="Z398" s="492"/>
      <c r="AA398" s="492"/>
      <c r="AB398" s="493"/>
      <c r="AC398" s="494"/>
      <c r="AD398" s="486" t="s">
        <v>1252</v>
      </c>
      <c r="AE398" s="458"/>
      <c r="AF398" s="458">
        <v>35</v>
      </c>
      <c r="AI398" s="488"/>
      <c r="AJ398" s="489"/>
      <c r="AK398" s="490" t="s">
        <v>1251</v>
      </c>
    </row>
    <row r="399" spans="1:37" x14ac:dyDescent="0.25">
      <c r="A399" s="483" t="s">
        <v>989</v>
      </c>
      <c r="B399" s="491"/>
      <c r="C399" s="492"/>
      <c r="D399" s="492"/>
      <c r="E399" s="492"/>
      <c r="F399" s="492"/>
      <c r="G399" s="493"/>
      <c r="H399" s="494"/>
      <c r="I399" s="484"/>
      <c r="J399" s="485"/>
      <c r="K399" s="485"/>
      <c r="L399" s="485"/>
      <c r="M399" s="485"/>
      <c r="N399" s="486"/>
      <c r="O399" s="487">
        <v>1</v>
      </c>
      <c r="P399" s="492"/>
      <c r="Q399" s="492"/>
      <c r="R399" s="492"/>
      <c r="S399" s="492"/>
      <c r="T399" s="492"/>
      <c r="U399" s="493"/>
      <c r="V399" s="493"/>
      <c r="W399" s="491"/>
      <c r="X399" s="492"/>
      <c r="Y399" s="492"/>
      <c r="Z399" s="492"/>
      <c r="AA399" s="492"/>
      <c r="AB399" s="493"/>
      <c r="AC399" s="494"/>
      <c r="AD399" s="486" t="s">
        <v>1252</v>
      </c>
      <c r="AE399" s="458"/>
      <c r="AF399" s="458">
        <v>35</v>
      </c>
      <c r="AI399" s="488"/>
      <c r="AJ399" s="490">
        <v>184</v>
      </c>
      <c r="AK399" s="490" t="s">
        <v>1251</v>
      </c>
    </row>
    <row r="400" spans="1:37" x14ac:dyDescent="0.25">
      <c r="A400" s="483" t="s">
        <v>990</v>
      </c>
      <c r="B400" s="491"/>
      <c r="C400" s="492"/>
      <c r="D400" s="492"/>
      <c r="E400" s="492"/>
      <c r="F400" s="492"/>
      <c r="G400" s="493"/>
      <c r="H400" s="494"/>
      <c r="I400" s="484"/>
      <c r="J400" s="485"/>
      <c r="K400" s="485"/>
      <c r="L400" s="485"/>
      <c r="M400" s="485"/>
      <c r="N400" s="486"/>
      <c r="O400" s="487">
        <v>1</v>
      </c>
      <c r="P400" s="492"/>
      <c r="Q400" s="492"/>
      <c r="R400" s="492"/>
      <c r="S400" s="492"/>
      <c r="T400" s="492"/>
      <c r="U400" s="493"/>
      <c r="V400" s="493"/>
      <c r="W400" s="491"/>
      <c r="X400" s="492"/>
      <c r="Y400" s="492"/>
      <c r="Z400" s="492"/>
      <c r="AA400" s="492"/>
      <c r="AB400" s="493"/>
      <c r="AC400" s="494"/>
      <c r="AD400" s="486" t="s">
        <v>1252</v>
      </c>
      <c r="AE400" s="458"/>
      <c r="AF400" s="458">
        <v>35</v>
      </c>
      <c r="AI400" s="488"/>
      <c r="AJ400" s="490">
        <v>185</v>
      </c>
      <c r="AK400" s="490" t="s">
        <v>1251</v>
      </c>
    </row>
    <row r="401" spans="1:37" x14ac:dyDescent="0.25">
      <c r="A401" s="483" t="s">
        <v>992</v>
      </c>
      <c r="B401" s="491"/>
      <c r="C401" s="492"/>
      <c r="D401" s="492"/>
      <c r="E401" s="492"/>
      <c r="F401" s="492"/>
      <c r="G401" s="493"/>
      <c r="H401" s="494"/>
      <c r="I401" s="484"/>
      <c r="J401" s="485"/>
      <c r="K401" s="485"/>
      <c r="L401" s="485"/>
      <c r="M401" s="485"/>
      <c r="N401" s="486"/>
      <c r="O401" s="487">
        <v>1</v>
      </c>
      <c r="P401" s="492"/>
      <c r="Q401" s="492"/>
      <c r="R401" s="492"/>
      <c r="S401" s="492"/>
      <c r="T401" s="492"/>
      <c r="U401" s="493"/>
      <c r="V401" s="493"/>
      <c r="W401" s="491"/>
      <c r="X401" s="492"/>
      <c r="Y401" s="492"/>
      <c r="Z401" s="492"/>
      <c r="AA401" s="492"/>
      <c r="AB401" s="493"/>
      <c r="AC401" s="494"/>
      <c r="AD401" s="486" t="s">
        <v>1252</v>
      </c>
      <c r="AE401" s="458"/>
      <c r="AF401" s="458">
        <v>35</v>
      </c>
      <c r="AI401" s="488"/>
      <c r="AJ401" s="490">
        <v>186</v>
      </c>
      <c r="AK401" s="490" t="s">
        <v>1251</v>
      </c>
    </row>
    <row r="402" spans="1:37" x14ac:dyDescent="0.25">
      <c r="A402" s="483" t="s">
        <v>993</v>
      </c>
      <c r="B402" s="491"/>
      <c r="C402" s="492"/>
      <c r="D402" s="492"/>
      <c r="E402" s="492"/>
      <c r="F402" s="492"/>
      <c r="G402" s="493"/>
      <c r="H402" s="494"/>
      <c r="I402" s="484"/>
      <c r="J402" s="485"/>
      <c r="K402" s="485"/>
      <c r="L402" s="485"/>
      <c r="M402" s="485"/>
      <c r="N402" s="486"/>
      <c r="O402" s="487">
        <v>1</v>
      </c>
      <c r="P402" s="492"/>
      <c r="Q402" s="492"/>
      <c r="R402" s="492"/>
      <c r="S402" s="492"/>
      <c r="T402" s="492"/>
      <c r="U402" s="493"/>
      <c r="V402" s="493"/>
      <c r="W402" s="491"/>
      <c r="X402" s="492"/>
      <c r="Y402" s="492"/>
      <c r="Z402" s="492"/>
      <c r="AA402" s="492"/>
      <c r="AB402" s="493"/>
      <c r="AC402" s="494"/>
      <c r="AD402" s="486" t="s">
        <v>1252</v>
      </c>
      <c r="AE402" s="458"/>
      <c r="AF402" s="458">
        <v>35</v>
      </c>
      <c r="AI402" s="488"/>
      <c r="AJ402" s="490">
        <v>187</v>
      </c>
      <c r="AK402" s="490" t="s">
        <v>1251</v>
      </c>
    </row>
    <row r="403" spans="1:37" x14ac:dyDescent="0.25">
      <c r="A403" s="483" t="s">
        <v>994</v>
      </c>
      <c r="B403" s="491"/>
      <c r="C403" s="492"/>
      <c r="D403" s="492"/>
      <c r="E403" s="492"/>
      <c r="F403" s="492"/>
      <c r="G403" s="493"/>
      <c r="H403" s="494"/>
      <c r="I403" s="484"/>
      <c r="J403" s="485"/>
      <c r="K403" s="485"/>
      <c r="L403" s="485"/>
      <c r="M403" s="485"/>
      <c r="N403" s="486"/>
      <c r="O403" s="487">
        <v>1</v>
      </c>
      <c r="P403" s="492"/>
      <c r="Q403" s="492"/>
      <c r="R403" s="492"/>
      <c r="S403" s="492"/>
      <c r="T403" s="492"/>
      <c r="U403" s="493"/>
      <c r="V403" s="493"/>
      <c r="W403" s="491"/>
      <c r="X403" s="492"/>
      <c r="Y403" s="492"/>
      <c r="Z403" s="492"/>
      <c r="AA403" s="492"/>
      <c r="AB403" s="493"/>
      <c r="AC403" s="494"/>
      <c r="AD403" s="486" t="s">
        <v>1252</v>
      </c>
      <c r="AE403" s="458"/>
      <c r="AF403" s="458">
        <v>35</v>
      </c>
      <c r="AI403" s="488"/>
      <c r="AJ403" s="490">
        <v>188</v>
      </c>
      <c r="AK403" s="490" t="s">
        <v>1251</v>
      </c>
    </row>
    <row r="404" spans="1:37" x14ac:dyDescent="0.25">
      <c r="A404" s="483" t="s">
        <v>996</v>
      </c>
      <c r="B404" s="491"/>
      <c r="C404" s="492"/>
      <c r="D404" s="492"/>
      <c r="E404" s="492"/>
      <c r="F404" s="492"/>
      <c r="G404" s="493"/>
      <c r="H404" s="494"/>
      <c r="I404" s="484"/>
      <c r="J404" s="485"/>
      <c r="K404" s="485"/>
      <c r="L404" s="485"/>
      <c r="M404" s="485"/>
      <c r="N404" s="486"/>
      <c r="O404" s="487">
        <v>1</v>
      </c>
      <c r="P404" s="492"/>
      <c r="Q404" s="492"/>
      <c r="R404" s="492"/>
      <c r="S404" s="492"/>
      <c r="T404" s="492"/>
      <c r="U404" s="493"/>
      <c r="V404" s="493"/>
      <c r="W404" s="491"/>
      <c r="X404" s="492"/>
      <c r="Y404" s="492"/>
      <c r="Z404" s="492"/>
      <c r="AA404" s="492"/>
      <c r="AB404" s="493"/>
      <c r="AC404" s="494"/>
      <c r="AD404" s="486" t="s">
        <v>1252</v>
      </c>
      <c r="AE404" s="458"/>
      <c r="AF404" s="458">
        <v>35</v>
      </c>
      <c r="AI404" s="488"/>
      <c r="AJ404" s="490">
        <v>269</v>
      </c>
      <c r="AK404" s="490" t="s">
        <v>1251</v>
      </c>
    </row>
    <row r="405" spans="1:37" x14ac:dyDescent="0.25">
      <c r="A405" s="483" t="s">
        <v>998</v>
      </c>
      <c r="B405" s="491"/>
      <c r="C405" s="492"/>
      <c r="D405" s="492"/>
      <c r="E405" s="492"/>
      <c r="F405" s="492"/>
      <c r="G405" s="493"/>
      <c r="H405" s="494"/>
      <c r="I405" s="484" t="s">
        <v>66</v>
      </c>
      <c r="J405" s="485"/>
      <c r="K405" s="485" t="s">
        <v>66</v>
      </c>
      <c r="L405" s="485"/>
      <c r="M405" s="485"/>
      <c r="N405" s="486"/>
      <c r="O405" s="487">
        <v>1</v>
      </c>
      <c r="P405" s="492"/>
      <c r="Q405" s="492"/>
      <c r="R405" s="492"/>
      <c r="S405" s="492"/>
      <c r="T405" s="492"/>
      <c r="U405" s="493"/>
      <c r="V405" s="493"/>
      <c r="W405" s="491"/>
      <c r="X405" s="492"/>
      <c r="Y405" s="492"/>
      <c r="Z405" s="492"/>
      <c r="AA405" s="492"/>
      <c r="AB405" s="493"/>
      <c r="AC405" s="494"/>
      <c r="AD405" s="486" t="s">
        <v>1252</v>
      </c>
      <c r="AE405" s="458"/>
      <c r="AF405" s="458">
        <v>35</v>
      </c>
      <c r="AI405" s="488"/>
      <c r="AJ405" s="490">
        <v>270</v>
      </c>
      <c r="AK405" s="490" t="s">
        <v>1251</v>
      </c>
    </row>
    <row r="406" spans="1:37" x14ac:dyDescent="0.25">
      <c r="A406" s="483" t="s">
        <v>1000</v>
      </c>
      <c r="B406" s="491"/>
      <c r="C406" s="492"/>
      <c r="D406" s="492"/>
      <c r="E406" s="492"/>
      <c r="F406" s="492"/>
      <c r="G406" s="493"/>
      <c r="H406" s="494"/>
      <c r="I406" s="484" t="s">
        <v>66</v>
      </c>
      <c r="J406" s="485"/>
      <c r="K406" s="485" t="s">
        <v>66</v>
      </c>
      <c r="L406" s="485"/>
      <c r="M406" s="485" t="s">
        <v>66</v>
      </c>
      <c r="N406" s="486"/>
      <c r="O406" s="487">
        <v>1</v>
      </c>
      <c r="P406" s="492"/>
      <c r="Q406" s="492"/>
      <c r="R406" s="492"/>
      <c r="S406" s="492"/>
      <c r="T406" s="492"/>
      <c r="U406" s="493"/>
      <c r="V406" s="493"/>
      <c r="W406" s="491"/>
      <c r="X406" s="492"/>
      <c r="Y406" s="492"/>
      <c r="Z406" s="492"/>
      <c r="AA406" s="492"/>
      <c r="AB406" s="493"/>
      <c r="AC406" s="494"/>
      <c r="AD406" s="486" t="s">
        <v>1252</v>
      </c>
      <c r="AE406" s="458"/>
      <c r="AF406" s="458">
        <v>35</v>
      </c>
      <c r="AI406" s="488"/>
      <c r="AJ406" s="490">
        <v>190</v>
      </c>
      <c r="AK406" s="490" t="s">
        <v>1251</v>
      </c>
    </row>
    <row r="407" spans="1:37" x14ac:dyDescent="0.25">
      <c r="A407" s="483" t="s">
        <v>1002</v>
      </c>
      <c r="B407" s="491"/>
      <c r="C407" s="492"/>
      <c r="D407" s="492"/>
      <c r="E407" s="492"/>
      <c r="F407" s="492"/>
      <c r="G407" s="493"/>
      <c r="H407" s="494"/>
      <c r="I407" s="484"/>
      <c r="J407" s="485"/>
      <c r="K407" s="485"/>
      <c r="L407" s="485"/>
      <c r="M407" s="485"/>
      <c r="N407" s="486"/>
      <c r="O407" s="487">
        <v>1</v>
      </c>
      <c r="P407" s="492"/>
      <c r="Q407" s="492"/>
      <c r="R407" s="492"/>
      <c r="S407" s="492"/>
      <c r="T407" s="492"/>
      <c r="U407" s="493"/>
      <c r="V407" s="493"/>
      <c r="W407" s="491"/>
      <c r="X407" s="492"/>
      <c r="Y407" s="492"/>
      <c r="Z407" s="492"/>
      <c r="AA407" s="492"/>
      <c r="AB407" s="493"/>
      <c r="AC407" s="494"/>
      <c r="AD407" s="486" t="s">
        <v>1252</v>
      </c>
      <c r="AE407" s="458"/>
      <c r="AF407" s="458">
        <v>35</v>
      </c>
      <c r="AI407" s="488"/>
      <c r="AJ407" s="490">
        <v>191</v>
      </c>
      <c r="AK407" s="490" t="s">
        <v>1251</v>
      </c>
    </row>
    <row r="408" spans="1:37" x14ac:dyDescent="0.25">
      <c r="A408" s="483" t="s">
        <v>1351</v>
      </c>
      <c r="B408" s="491"/>
      <c r="C408" s="492"/>
      <c r="D408" s="492"/>
      <c r="E408" s="492"/>
      <c r="F408" s="492"/>
      <c r="G408" s="493"/>
      <c r="H408" s="494"/>
      <c r="I408" s="484"/>
      <c r="J408" s="485"/>
      <c r="K408" s="485"/>
      <c r="L408" s="485"/>
      <c r="M408" s="485"/>
      <c r="N408" s="486"/>
      <c r="O408" s="487">
        <v>1</v>
      </c>
      <c r="P408" s="492"/>
      <c r="Q408" s="492"/>
      <c r="R408" s="492"/>
      <c r="S408" s="492"/>
      <c r="T408" s="492"/>
      <c r="U408" s="493"/>
      <c r="V408" s="493"/>
      <c r="W408" s="491"/>
      <c r="X408" s="492"/>
      <c r="Y408" s="492"/>
      <c r="Z408" s="492"/>
      <c r="AA408" s="492"/>
      <c r="AB408" s="493"/>
      <c r="AC408" s="494"/>
      <c r="AD408" s="486" t="s">
        <v>1252</v>
      </c>
      <c r="AE408" s="458"/>
      <c r="AF408" s="458">
        <v>35</v>
      </c>
      <c r="AI408" s="488"/>
      <c r="AJ408" s="490">
        <v>187</v>
      </c>
      <c r="AK408" s="490" t="s">
        <v>1251</v>
      </c>
    </row>
    <row r="409" spans="1:37" x14ac:dyDescent="0.25">
      <c r="A409" s="483" t="s">
        <v>1004</v>
      </c>
      <c r="B409" s="491"/>
      <c r="C409" s="492"/>
      <c r="D409" s="492"/>
      <c r="E409" s="492"/>
      <c r="F409" s="492"/>
      <c r="G409" s="493"/>
      <c r="H409" s="494"/>
      <c r="I409" s="484" t="s">
        <v>66</v>
      </c>
      <c r="J409" s="485"/>
      <c r="K409" s="485" t="s">
        <v>66</v>
      </c>
      <c r="L409" s="485" t="s">
        <v>56</v>
      </c>
      <c r="M409" s="485" t="s">
        <v>66</v>
      </c>
      <c r="N409" s="486"/>
      <c r="O409" s="487">
        <v>1</v>
      </c>
      <c r="P409" s="492"/>
      <c r="Q409" s="492"/>
      <c r="R409" s="492"/>
      <c r="S409" s="492"/>
      <c r="T409" s="492"/>
      <c r="U409" s="493"/>
      <c r="V409" s="493"/>
      <c r="W409" s="491"/>
      <c r="X409" s="492"/>
      <c r="Y409" s="492"/>
      <c r="Z409" s="492"/>
      <c r="AA409" s="492"/>
      <c r="AB409" s="493"/>
      <c r="AC409" s="494"/>
      <c r="AD409" s="486" t="s">
        <v>1252</v>
      </c>
      <c r="AE409" s="458"/>
      <c r="AF409" s="458">
        <v>35</v>
      </c>
      <c r="AI409" s="488"/>
      <c r="AJ409" s="489"/>
      <c r="AK409" s="490" t="s">
        <v>1251</v>
      </c>
    </row>
    <row r="410" spans="1:37" x14ac:dyDescent="0.25">
      <c r="A410" s="483" t="s">
        <v>1006</v>
      </c>
      <c r="B410" s="491"/>
      <c r="C410" s="492"/>
      <c r="D410" s="492"/>
      <c r="E410" s="492"/>
      <c r="F410" s="492"/>
      <c r="G410" s="493"/>
      <c r="H410" s="494"/>
      <c r="I410" s="484"/>
      <c r="J410" s="485"/>
      <c r="K410" s="485"/>
      <c r="L410" s="485"/>
      <c r="M410" s="485"/>
      <c r="N410" s="486"/>
      <c r="O410" s="487">
        <v>1</v>
      </c>
      <c r="P410" s="492"/>
      <c r="Q410" s="492"/>
      <c r="R410" s="492"/>
      <c r="S410" s="492"/>
      <c r="T410" s="492"/>
      <c r="U410" s="493"/>
      <c r="V410" s="493"/>
      <c r="W410" s="491"/>
      <c r="X410" s="492"/>
      <c r="Y410" s="492"/>
      <c r="Z410" s="492"/>
      <c r="AA410" s="492"/>
      <c r="AB410" s="493"/>
      <c r="AC410" s="494"/>
      <c r="AD410" s="486" t="s">
        <v>1252</v>
      </c>
      <c r="AE410" s="458"/>
      <c r="AF410" s="458">
        <v>35</v>
      </c>
      <c r="AI410" s="488"/>
      <c r="AJ410" s="489"/>
      <c r="AK410" s="490" t="s">
        <v>1251</v>
      </c>
    </row>
    <row r="411" spans="1:37" x14ac:dyDescent="0.25">
      <c r="A411" s="483" t="s">
        <v>1008</v>
      </c>
      <c r="B411" s="491"/>
      <c r="C411" s="492"/>
      <c r="D411" s="492"/>
      <c r="E411" s="492"/>
      <c r="F411" s="492"/>
      <c r="G411" s="493"/>
      <c r="H411" s="494"/>
      <c r="I411" s="484"/>
      <c r="J411" s="485"/>
      <c r="K411" s="485"/>
      <c r="L411" s="485"/>
      <c r="M411" s="485"/>
      <c r="N411" s="486"/>
      <c r="O411" s="487">
        <v>1</v>
      </c>
      <c r="P411" s="492"/>
      <c r="Q411" s="492"/>
      <c r="R411" s="492"/>
      <c r="S411" s="492"/>
      <c r="T411" s="492"/>
      <c r="U411" s="493"/>
      <c r="V411" s="493"/>
      <c r="W411" s="491"/>
      <c r="X411" s="492"/>
      <c r="Y411" s="492"/>
      <c r="Z411" s="492"/>
      <c r="AA411" s="492"/>
      <c r="AB411" s="493"/>
      <c r="AC411" s="494"/>
      <c r="AD411" s="486" t="s">
        <v>1252</v>
      </c>
      <c r="AE411" s="458"/>
      <c r="AF411" s="458">
        <v>35</v>
      </c>
      <c r="AI411" s="488"/>
      <c r="AJ411" s="490">
        <v>192</v>
      </c>
      <c r="AK411" s="490" t="s">
        <v>1251</v>
      </c>
    </row>
    <row r="412" spans="1:37" x14ac:dyDescent="0.25">
      <c r="A412" s="483" t="s">
        <v>1010</v>
      </c>
      <c r="B412" s="491"/>
      <c r="C412" s="492"/>
      <c r="D412" s="492"/>
      <c r="E412" s="492"/>
      <c r="F412" s="492"/>
      <c r="G412" s="493"/>
      <c r="H412" s="494"/>
      <c r="I412" s="484"/>
      <c r="J412" s="485"/>
      <c r="K412" s="485"/>
      <c r="L412" s="485"/>
      <c r="M412" s="485"/>
      <c r="N412" s="486"/>
      <c r="O412" s="487">
        <v>1</v>
      </c>
      <c r="P412" s="492"/>
      <c r="Q412" s="492"/>
      <c r="R412" s="492"/>
      <c r="S412" s="492"/>
      <c r="T412" s="492"/>
      <c r="U412" s="493"/>
      <c r="V412" s="493"/>
      <c r="W412" s="491"/>
      <c r="X412" s="492"/>
      <c r="Y412" s="492"/>
      <c r="Z412" s="492"/>
      <c r="AA412" s="492"/>
      <c r="AB412" s="493"/>
      <c r="AC412" s="494"/>
      <c r="AD412" s="486" t="s">
        <v>1252</v>
      </c>
      <c r="AE412" s="458"/>
      <c r="AF412" s="458">
        <v>35</v>
      </c>
      <c r="AI412" s="488"/>
      <c r="AJ412" s="490">
        <v>180</v>
      </c>
      <c r="AK412" s="490" t="s">
        <v>1251</v>
      </c>
    </row>
    <row r="413" spans="1:37" x14ac:dyDescent="0.25">
      <c r="A413" s="483" t="s">
        <v>1012</v>
      </c>
      <c r="B413" s="491"/>
      <c r="C413" s="492"/>
      <c r="D413" s="492"/>
      <c r="E413" s="492"/>
      <c r="F413" s="492"/>
      <c r="G413" s="493"/>
      <c r="H413" s="494"/>
      <c r="I413" s="484"/>
      <c r="J413" s="485"/>
      <c r="K413" s="485"/>
      <c r="L413" s="485"/>
      <c r="M413" s="485"/>
      <c r="N413" s="486"/>
      <c r="O413" s="487">
        <v>1</v>
      </c>
      <c r="P413" s="492"/>
      <c r="Q413" s="492"/>
      <c r="R413" s="492"/>
      <c r="S413" s="492"/>
      <c r="T413" s="492"/>
      <c r="U413" s="493"/>
      <c r="V413" s="493"/>
      <c r="W413" s="491"/>
      <c r="X413" s="492"/>
      <c r="Y413" s="492"/>
      <c r="Z413" s="492"/>
      <c r="AA413" s="492"/>
      <c r="AB413" s="493"/>
      <c r="AC413" s="494"/>
      <c r="AD413" s="486" t="s">
        <v>1252</v>
      </c>
      <c r="AE413" s="458"/>
      <c r="AF413" s="458">
        <v>35</v>
      </c>
      <c r="AI413" s="488"/>
      <c r="AJ413" s="489"/>
      <c r="AK413" s="490" t="s">
        <v>1251</v>
      </c>
    </row>
    <row r="414" spans="1:37" x14ac:dyDescent="0.25">
      <c r="A414" s="483" t="s">
        <v>1014</v>
      </c>
      <c r="B414" s="491"/>
      <c r="C414" s="492"/>
      <c r="D414" s="492"/>
      <c r="E414" s="492"/>
      <c r="F414" s="492"/>
      <c r="G414" s="493"/>
      <c r="H414" s="494"/>
      <c r="I414" s="484"/>
      <c r="J414" s="485"/>
      <c r="K414" s="485"/>
      <c r="L414" s="485"/>
      <c r="M414" s="485"/>
      <c r="N414" s="486"/>
      <c r="O414" s="487">
        <v>1</v>
      </c>
      <c r="P414" s="492"/>
      <c r="Q414" s="492"/>
      <c r="R414" s="492"/>
      <c r="S414" s="492"/>
      <c r="T414" s="492"/>
      <c r="U414" s="493"/>
      <c r="V414" s="493"/>
      <c r="W414" s="491"/>
      <c r="X414" s="492"/>
      <c r="Y414" s="492"/>
      <c r="Z414" s="492"/>
      <c r="AA414" s="492"/>
      <c r="AB414" s="493"/>
      <c r="AC414" s="494"/>
      <c r="AD414" s="486" t="s">
        <v>1252</v>
      </c>
      <c r="AE414" s="458"/>
      <c r="AF414" s="458">
        <v>35</v>
      </c>
      <c r="AI414" s="488"/>
      <c r="AJ414" s="489"/>
      <c r="AK414" s="490" t="s">
        <v>1251</v>
      </c>
    </row>
    <row r="415" spans="1:37" x14ac:dyDescent="0.25">
      <c r="A415" s="483" t="s">
        <v>1016</v>
      </c>
      <c r="B415" s="491"/>
      <c r="C415" s="492"/>
      <c r="D415" s="492"/>
      <c r="E415" s="492"/>
      <c r="F415" s="492"/>
      <c r="G415" s="493"/>
      <c r="H415" s="494"/>
      <c r="I415" s="484"/>
      <c r="J415" s="485"/>
      <c r="K415" s="485"/>
      <c r="L415" s="485"/>
      <c r="M415" s="485"/>
      <c r="N415" s="486"/>
      <c r="O415" s="487">
        <v>1</v>
      </c>
      <c r="P415" s="492"/>
      <c r="Q415" s="492"/>
      <c r="R415" s="492"/>
      <c r="S415" s="492"/>
      <c r="T415" s="492"/>
      <c r="U415" s="493"/>
      <c r="V415" s="493"/>
      <c r="W415" s="491"/>
      <c r="X415" s="492"/>
      <c r="Y415" s="492"/>
      <c r="Z415" s="492"/>
      <c r="AA415" s="492"/>
      <c r="AB415" s="493"/>
      <c r="AC415" s="494"/>
      <c r="AD415" s="486" t="s">
        <v>1252</v>
      </c>
      <c r="AE415" s="458"/>
      <c r="AF415" s="458">
        <v>35</v>
      </c>
      <c r="AI415" s="488"/>
      <c r="AJ415" s="490">
        <v>193</v>
      </c>
      <c r="AK415" s="490" t="s">
        <v>1251</v>
      </c>
    </row>
    <row r="416" spans="1:37" x14ac:dyDescent="0.25">
      <c r="A416" s="483" t="s">
        <v>1017</v>
      </c>
      <c r="B416" s="491"/>
      <c r="C416" s="492"/>
      <c r="D416" s="492"/>
      <c r="E416" s="492"/>
      <c r="F416" s="492"/>
      <c r="G416" s="493"/>
      <c r="H416" s="494"/>
      <c r="I416" s="484"/>
      <c r="J416" s="485"/>
      <c r="K416" s="485"/>
      <c r="L416" s="485"/>
      <c r="M416" s="485"/>
      <c r="N416" s="486"/>
      <c r="O416" s="487">
        <v>1</v>
      </c>
      <c r="P416" s="492"/>
      <c r="Q416" s="492"/>
      <c r="R416" s="492"/>
      <c r="S416" s="492"/>
      <c r="T416" s="492"/>
      <c r="U416" s="493"/>
      <c r="V416" s="493"/>
      <c r="W416" s="491"/>
      <c r="X416" s="492"/>
      <c r="Y416" s="492"/>
      <c r="Z416" s="492"/>
      <c r="AA416" s="492"/>
      <c r="AB416" s="493"/>
      <c r="AC416" s="494"/>
      <c r="AD416" s="486" t="s">
        <v>1252</v>
      </c>
      <c r="AE416" s="458"/>
      <c r="AF416" s="458">
        <v>35</v>
      </c>
      <c r="AI416" s="488"/>
      <c r="AJ416" s="490">
        <v>194</v>
      </c>
      <c r="AK416" s="490" t="s">
        <v>1251</v>
      </c>
    </row>
    <row r="417" spans="1:37" x14ac:dyDescent="0.25">
      <c r="A417" s="483" t="s">
        <v>1019</v>
      </c>
      <c r="B417" s="491"/>
      <c r="C417" s="492"/>
      <c r="D417" s="492"/>
      <c r="E417" s="492"/>
      <c r="F417" s="492"/>
      <c r="G417" s="493"/>
      <c r="H417" s="494"/>
      <c r="I417" s="484"/>
      <c r="J417" s="485"/>
      <c r="K417" s="485"/>
      <c r="L417" s="485"/>
      <c r="M417" s="485"/>
      <c r="N417" s="486"/>
      <c r="O417" s="487">
        <v>1</v>
      </c>
      <c r="P417" s="492"/>
      <c r="Q417" s="492"/>
      <c r="R417" s="492"/>
      <c r="S417" s="492"/>
      <c r="T417" s="492"/>
      <c r="U417" s="493"/>
      <c r="V417" s="493"/>
      <c r="W417" s="491"/>
      <c r="X417" s="492"/>
      <c r="Y417" s="492"/>
      <c r="Z417" s="492"/>
      <c r="AA417" s="492"/>
      <c r="AB417" s="493"/>
      <c r="AC417" s="494"/>
      <c r="AD417" s="486" t="s">
        <v>1252</v>
      </c>
      <c r="AE417" s="458"/>
      <c r="AF417" s="458">
        <v>35</v>
      </c>
      <c r="AI417" s="488"/>
      <c r="AJ417" s="490">
        <v>195</v>
      </c>
      <c r="AK417" s="490" t="s">
        <v>1251</v>
      </c>
    </row>
    <row r="418" spans="1:37" x14ac:dyDescent="0.25">
      <c r="A418" s="483" t="s">
        <v>1021</v>
      </c>
      <c r="B418" s="491"/>
      <c r="C418" s="492"/>
      <c r="D418" s="492"/>
      <c r="E418" s="492"/>
      <c r="F418" s="492"/>
      <c r="G418" s="493"/>
      <c r="H418" s="494"/>
      <c r="I418" s="484"/>
      <c r="J418" s="485"/>
      <c r="K418" s="485"/>
      <c r="L418" s="485"/>
      <c r="M418" s="485"/>
      <c r="N418" s="486"/>
      <c r="O418" s="487">
        <v>1</v>
      </c>
      <c r="P418" s="492"/>
      <c r="Q418" s="492"/>
      <c r="R418" s="492"/>
      <c r="S418" s="492"/>
      <c r="T418" s="492"/>
      <c r="U418" s="493"/>
      <c r="V418" s="493"/>
      <c r="W418" s="491"/>
      <c r="X418" s="492"/>
      <c r="Y418" s="492"/>
      <c r="Z418" s="492"/>
      <c r="AA418" s="492"/>
      <c r="AB418" s="493"/>
      <c r="AC418" s="494"/>
      <c r="AD418" s="486" t="s">
        <v>1252</v>
      </c>
      <c r="AE418" s="458"/>
      <c r="AF418" s="458">
        <v>35</v>
      </c>
      <c r="AI418" s="488"/>
      <c r="AJ418" s="490">
        <v>196</v>
      </c>
      <c r="AK418" s="490" t="s">
        <v>1251</v>
      </c>
    </row>
    <row r="419" spans="1:37" x14ac:dyDescent="0.25">
      <c r="A419" s="483" t="s">
        <v>1022</v>
      </c>
      <c r="B419" s="491"/>
      <c r="C419" s="492"/>
      <c r="D419" s="492"/>
      <c r="E419" s="492"/>
      <c r="F419" s="492"/>
      <c r="G419" s="493"/>
      <c r="H419" s="494"/>
      <c r="I419" s="484"/>
      <c r="J419" s="485"/>
      <c r="K419" s="485"/>
      <c r="L419" s="485"/>
      <c r="M419" s="485"/>
      <c r="N419" s="486"/>
      <c r="O419" s="487">
        <v>1</v>
      </c>
      <c r="P419" s="492"/>
      <c r="Q419" s="492"/>
      <c r="R419" s="492"/>
      <c r="S419" s="492"/>
      <c r="T419" s="492"/>
      <c r="U419" s="493"/>
      <c r="V419" s="493"/>
      <c r="W419" s="491"/>
      <c r="X419" s="492"/>
      <c r="Y419" s="492"/>
      <c r="Z419" s="492"/>
      <c r="AA419" s="492"/>
      <c r="AB419" s="493"/>
      <c r="AC419" s="494"/>
      <c r="AD419" s="486" t="s">
        <v>1252</v>
      </c>
      <c r="AE419" s="458"/>
      <c r="AF419" s="458">
        <v>35</v>
      </c>
      <c r="AI419" s="488"/>
      <c r="AJ419" s="490">
        <v>197</v>
      </c>
      <c r="AK419" s="490" t="s">
        <v>1251</v>
      </c>
    </row>
    <row r="420" spans="1:37" x14ac:dyDescent="0.25">
      <c r="A420" s="483" t="s">
        <v>1023</v>
      </c>
      <c r="B420" s="491"/>
      <c r="C420" s="492"/>
      <c r="D420" s="492"/>
      <c r="E420" s="492"/>
      <c r="F420" s="492"/>
      <c r="G420" s="493"/>
      <c r="H420" s="494"/>
      <c r="I420" s="484"/>
      <c r="J420" s="485"/>
      <c r="K420" s="485"/>
      <c r="L420" s="485"/>
      <c r="M420" s="485"/>
      <c r="N420" s="486"/>
      <c r="O420" s="487"/>
      <c r="P420" s="492"/>
      <c r="Q420" s="492"/>
      <c r="R420" s="492"/>
      <c r="S420" s="492"/>
      <c r="T420" s="492"/>
      <c r="U420" s="493"/>
      <c r="V420" s="493"/>
      <c r="W420" s="491"/>
      <c r="X420" s="492"/>
      <c r="Y420" s="492"/>
      <c r="Z420" s="492"/>
      <c r="AA420" s="492"/>
      <c r="AB420" s="493"/>
      <c r="AC420" s="494"/>
      <c r="AD420" s="486" t="s">
        <v>1252</v>
      </c>
      <c r="AE420" s="458"/>
      <c r="AF420" s="458">
        <v>35</v>
      </c>
      <c r="AI420" s="488"/>
      <c r="AJ420" s="489"/>
      <c r="AK420" s="490" t="s">
        <v>1251</v>
      </c>
    </row>
    <row r="421" spans="1:37" x14ac:dyDescent="0.25">
      <c r="A421" s="483" t="s">
        <v>1025</v>
      </c>
      <c r="B421" s="491"/>
      <c r="C421" s="492"/>
      <c r="D421" s="492"/>
      <c r="E421" s="492"/>
      <c r="F421" s="492"/>
      <c r="G421" s="493"/>
      <c r="H421" s="494"/>
      <c r="I421" s="484"/>
      <c r="J421" s="485"/>
      <c r="K421" s="485"/>
      <c r="L421" s="485"/>
      <c r="M421" s="485"/>
      <c r="N421" s="486"/>
      <c r="O421" s="487">
        <v>1</v>
      </c>
      <c r="P421" s="492"/>
      <c r="Q421" s="492"/>
      <c r="R421" s="492"/>
      <c r="S421" s="492"/>
      <c r="T421" s="492"/>
      <c r="U421" s="493"/>
      <c r="V421" s="493"/>
      <c r="W421" s="491"/>
      <c r="X421" s="492"/>
      <c r="Y421" s="492"/>
      <c r="Z421" s="492"/>
      <c r="AA421" s="492"/>
      <c r="AB421" s="493"/>
      <c r="AC421" s="494"/>
      <c r="AD421" s="486" t="s">
        <v>1252</v>
      </c>
      <c r="AE421" s="458"/>
      <c r="AF421" s="458">
        <v>35</v>
      </c>
      <c r="AI421" s="488"/>
      <c r="AJ421" s="490">
        <v>198</v>
      </c>
      <c r="AK421" s="490" t="s">
        <v>1251</v>
      </c>
    </row>
    <row r="422" spans="1:37" x14ac:dyDescent="0.25">
      <c r="A422" s="483" t="s">
        <v>1027</v>
      </c>
      <c r="B422" s="491"/>
      <c r="C422" s="492"/>
      <c r="D422" s="492"/>
      <c r="E422" s="492"/>
      <c r="F422" s="492"/>
      <c r="G422" s="493"/>
      <c r="H422" s="494"/>
      <c r="I422" s="484"/>
      <c r="J422" s="485"/>
      <c r="K422" s="485"/>
      <c r="L422" s="485"/>
      <c r="M422" s="485"/>
      <c r="N422" s="486"/>
      <c r="O422" s="487">
        <v>1</v>
      </c>
      <c r="P422" s="492"/>
      <c r="Q422" s="492"/>
      <c r="R422" s="492"/>
      <c r="S422" s="492"/>
      <c r="T422" s="492"/>
      <c r="U422" s="493"/>
      <c r="V422" s="493"/>
      <c r="W422" s="491"/>
      <c r="X422" s="492"/>
      <c r="Y422" s="492"/>
      <c r="Z422" s="492"/>
      <c r="AA422" s="492"/>
      <c r="AB422" s="493"/>
      <c r="AC422" s="494"/>
      <c r="AD422" s="486" t="s">
        <v>1252</v>
      </c>
      <c r="AE422" s="458"/>
      <c r="AF422" s="458">
        <v>35</v>
      </c>
      <c r="AI422" s="488"/>
      <c r="AJ422" s="490">
        <v>199</v>
      </c>
      <c r="AK422" s="490" t="s">
        <v>1251</v>
      </c>
    </row>
    <row r="423" spans="1:37" x14ac:dyDescent="0.25">
      <c r="A423" s="483" t="s">
        <v>1028</v>
      </c>
      <c r="B423" s="491"/>
      <c r="C423" s="492"/>
      <c r="D423" s="492"/>
      <c r="E423" s="492"/>
      <c r="F423" s="492"/>
      <c r="G423" s="493"/>
      <c r="H423" s="494"/>
      <c r="I423" s="484"/>
      <c r="J423" s="485"/>
      <c r="K423" s="485"/>
      <c r="L423" s="485"/>
      <c r="M423" s="485"/>
      <c r="N423" s="486"/>
      <c r="O423" s="487">
        <v>1</v>
      </c>
      <c r="P423" s="492"/>
      <c r="Q423" s="492"/>
      <c r="R423" s="492"/>
      <c r="S423" s="492"/>
      <c r="T423" s="492"/>
      <c r="U423" s="493"/>
      <c r="V423" s="493"/>
      <c r="W423" s="491"/>
      <c r="X423" s="492"/>
      <c r="Y423" s="492"/>
      <c r="Z423" s="492"/>
      <c r="AA423" s="492"/>
      <c r="AB423" s="493"/>
      <c r="AC423" s="494"/>
      <c r="AD423" s="486" t="s">
        <v>1252</v>
      </c>
      <c r="AE423" s="458"/>
      <c r="AF423" s="458">
        <v>35</v>
      </c>
      <c r="AI423" s="488"/>
      <c r="AJ423" s="490">
        <v>200</v>
      </c>
      <c r="AK423" s="490" t="s">
        <v>1251</v>
      </c>
    </row>
    <row r="424" spans="1:37" x14ac:dyDescent="0.25">
      <c r="A424" s="483" t="s">
        <v>1030</v>
      </c>
      <c r="B424" s="491"/>
      <c r="C424" s="492"/>
      <c r="D424" s="492"/>
      <c r="E424" s="492"/>
      <c r="F424" s="492"/>
      <c r="G424" s="493"/>
      <c r="H424" s="494"/>
      <c r="I424" s="484"/>
      <c r="J424" s="485"/>
      <c r="K424" s="485"/>
      <c r="L424" s="485"/>
      <c r="M424" s="485"/>
      <c r="N424" s="486"/>
      <c r="O424" s="487">
        <v>1</v>
      </c>
      <c r="P424" s="492"/>
      <c r="Q424" s="492"/>
      <c r="R424" s="492"/>
      <c r="S424" s="492"/>
      <c r="T424" s="492"/>
      <c r="U424" s="493"/>
      <c r="V424" s="493"/>
      <c r="W424" s="491"/>
      <c r="X424" s="492"/>
      <c r="Y424" s="492"/>
      <c r="Z424" s="492"/>
      <c r="AA424" s="492"/>
      <c r="AB424" s="493"/>
      <c r="AC424" s="494"/>
      <c r="AD424" s="486" t="s">
        <v>1252</v>
      </c>
      <c r="AE424" s="458"/>
      <c r="AF424" s="458">
        <v>35</v>
      </c>
      <c r="AI424" s="488"/>
      <c r="AJ424" s="490">
        <v>201</v>
      </c>
      <c r="AK424" s="490" t="s">
        <v>1251</v>
      </c>
    </row>
    <row r="425" spans="1:37" x14ac:dyDescent="0.25">
      <c r="A425" s="483" t="s">
        <v>1031</v>
      </c>
      <c r="B425" s="491"/>
      <c r="C425" s="492"/>
      <c r="D425" s="492"/>
      <c r="E425" s="492"/>
      <c r="F425" s="492"/>
      <c r="G425" s="493"/>
      <c r="H425" s="494"/>
      <c r="I425" s="484" t="s">
        <v>66</v>
      </c>
      <c r="J425" s="485"/>
      <c r="K425" s="485" t="s">
        <v>66</v>
      </c>
      <c r="L425" s="485"/>
      <c r="M425" s="485"/>
      <c r="N425" s="486"/>
      <c r="O425" s="487">
        <v>1</v>
      </c>
      <c r="P425" s="492"/>
      <c r="Q425" s="492"/>
      <c r="R425" s="492"/>
      <c r="S425" s="492"/>
      <c r="T425" s="492"/>
      <c r="U425" s="493"/>
      <c r="V425" s="493"/>
      <c r="W425" s="491"/>
      <c r="X425" s="492"/>
      <c r="Y425" s="492"/>
      <c r="Z425" s="492"/>
      <c r="AA425" s="492"/>
      <c r="AB425" s="493"/>
      <c r="AC425" s="494"/>
      <c r="AD425" s="486" t="s">
        <v>1252</v>
      </c>
      <c r="AE425" s="458"/>
      <c r="AF425" s="458">
        <v>35</v>
      </c>
      <c r="AI425" s="488"/>
      <c r="AJ425" s="489"/>
      <c r="AK425" s="490" t="s">
        <v>1251</v>
      </c>
    </row>
    <row r="426" spans="1:37" x14ac:dyDescent="0.25">
      <c r="A426" s="483" t="s">
        <v>1033</v>
      </c>
      <c r="B426" s="491"/>
      <c r="C426" s="492"/>
      <c r="D426" s="492"/>
      <c r="E426" s="492"/>
      <c r="F426" s="492"/>
      <c r="G426" s="493"/>
      <c r="H426" s="494"/>
      <c r="I426" s="484"/>
      <c r="J426" s="485"/>
      <c r="K426" s="485"/>
      <c r="L426" s="485"/>
      <c r="M426" s="485"/>
      <c r="N426" s="486"/>
      <c r="O426" s="487">
        <v>1</v>
      </c>
      <c r="P426" s="492"/>
      <c r="Q426" s="492"/>
      <c r="R426" s="492"/>
      <c r="S426" s="492"/>
      <c r="T426" s="492"/>
      <c r="U426" s="493"/>
      <c r="V426" s="493"/>
      <c r="W426" s="491"/>
      <c r="X426" s="492"/>
      <c r="Y426" s="492"/>
      <c r="Z426" s="492"/>
      <c r="AA426" s="492"/>
      <c r="AB426" s="493"/>
      <c r="AC426" s="494"/>
      <c r="AD426" s="486" t="s">
        <v>1252</v>
      </c>
      <c r="AE426" s="458"/>
      <c r="AF426" s="458">
        <v>35</v>
      </c>
      <c r="AI426" s="488"/>
      <c r="AJ426" s="490">
        <v>202</v>
      </c>
      <c r="AK426" s="490" t="s">
        <v>1251</v>
      </c>
    </row>
    <row r="427" spans="1:37" x14ac:dyDescent="0.25">
      <c r="A427" s="483" t="s">
        <v>1034</v>
      </c>
      <c r="B427" s="491"/>
      <c r="C427" s="492"/>
      <c r="D427" s="492"/>
      <c r="E427" s="492"/>
      <c r="F427" s="492"/>
      <c r="G427" s="493"/>
      <c r="H427" s="494"/>
      <c r="I427" s="484" t="s">
        <v>66</v>
      </c>
      <c r="J427" s="485" t="s">
        <v>66</v>
      </c>
      <c r="K427" s="485" t="s">
        <v>66</v>
      </c>
      <c r="L427" s="485" t="s">
        <v>66</v>
      </c>
      <c r="M427" s="485" t="s">
        <v>66</v>
      </c>
      <c r="N427" s="486"/>
      <c r="O427" s="487">
        <v>1</v>
      </c>
      <c r="P427" s="492"/>
      <c r="Q427" s="492"/>
      <c r="R427" s="492"/>
      <c r="S427" s="492"/>
      <c r="T427" s="492"/>
      <c r="U427" s="493"/>
      <c r="V427" s="493"/>
      <c r="W427" s="491"/>
      <c r="X427" s="492"/>
      <c r="Y427" s="492"/>
      <c r="Z427" s="492"/>
      <c r="AA427" s="492"/>
      <c r="AB427" s="493"/>
      <c r="AC427" s="494"/>
      <c r="AD427" s="486" t="s">
        <v>1252</v>
      </c>
      <c r="AE427" s="458"/>
      <c r="AF427" s="458">
        <v>35</v>
      </c>
      <c r="AI427" s="488"/>
      <c r="AJ427" s="490">
        <v>272</v>
      </c>
      <c r="AK427" s="490" t="s">
        <v>1251</v>
      </c>
    </row>
    <row r="428" spans="1:37" x14ac:dyDescent="0.25">
      <c r="A428" s="483" t="s">
        <v>1036</v>
      </c>
      <c r="B428" s="491"/>
      <c r="C428" s="492"/>
      <c r="D428" s="492"/>
      <c r="E428" s="492"/>
      <c r="F428" s="492"/>
      <c r="G428" s="493"/>
      <c r="H428" s="494"/>
      <c r="I428" s="484"/>
      <c r="J428" s="485"/>
      <c r="K428" s="485"/>
      <c r="L428" s="485"/>
      <c r="M428" s="485"/>
      <c r="N428" s="486"/>
      <c r="O428" s="487">
        <v>1</v>
      </c>
      <c r="P428" s="492"/>
      <c r="Q428" s="492"/>
      <c r="R428" s="492"/>
      <c r="S428" s="492"/>
      <c r="T428" s="492"/>
      <c r="U428" s="493"/>
      <c r="V428" s="493"/>
      <c r="W428" s="491"/>
      <c r="X428" s="492"/>
      <c r="Y428" s="492"/>
      <c r="Z428" s="492"/>
      <c r="AA428" s="492"/>
      <c r="AB428" s="493"/>
      <c r="AC428" s="494"/>
      <c r="AD428" s="486" t="s">
        <v>1252</v>
      </c>
      <c r="AE428" s="458"/>
      <c r="AF428" s="458">
        <v>35</v>
      </c>
      <c r="AI428" s="488"/>
      <c r="AJ428" s="489"/>
      <c r="AK428" s="490"/>
    </row>
    <row r="429" spans="1:37" x14ac:dyDescent="0.25">
      <c r="A429" s="483" t="s">
        <v>1037</v>
      </c>
      <c r="B429" s="491"/>
      <c r="C429" s="492"/>
      <c r="D429" s="492"/>
      <c r="E429" s="492"/>
      <c r="F429" s="492"/>
      <c r="G429" s="493"/>
      <c r="H429" s="494"/>
      <c r="I429" s="484"/>
      <c r="J429" s="485"/>
      <c r="K429" s="485"/>
      <c r="L429" s="485"/>
      <c r="M429" s="485"/>
      <c r="N429" s="486"/>
      <c r="O429" s="487">
        <v>1</v>
      </c>
      <c r="P429" s="492"/>
      <c r="Q429" s="492"/>
      <c r="R429" s="492"/>
      <c r="S429" s="492"/>
      <c r="T429" s="492"/>
      <c r="U429" s="493"/>
      <c r="V429" s="493"/>
      <c r="W429" s="491"/>
      <c r="X429" s="492"/>
      <c r="Y429" s="492"/>
      <c r="Z429" s="492"/>
      <c r="AA429" s="492"/>
      <c r="AB429" s="493"/>
      <c r="AC429" s="494"/>
      <c r="AD429" s="486" t="s">
        <v>1252</v>
      </c>
      <c r="AE429" s="458"/>
      <c r="AF429" s="458">
        <v>35</v>
      </c>
      <c r="AI429" s="488"/>
      <c r="AJ429" s="489"/>
      <c r="AK429" s="490"/>
    </row>
    <row r="430" spans="1:37" ht="15.75" thickBot="1" x14ac:dyDescent="0.3">
      <c r="A430" s="1029" t="s">
        <v>1410</v>
      </c>
      <c r="B430" s="491"/>
      <c r="C430" s="492"/>
      <c r="D430" s="492"/>
      <c r="E430" s="492"/>
      <c r="F430" s="492"/>
      <c r="G430" s="493"/>
      <c r="H430" s="494"/>
      <c r="I430" s="484"/>
      <c r="J430" s="485"/>
      <c r="K430" s="485"/>
      <c r="L430" s="485"/>
      <c r="M430" s="485"/>
      <c r="N430" s="486"/>
      <c r="O430" s="487">
        <v>1</v>
      </c>
      <c r="P430" s="492"/>
      <c r="Q430" s="492"/>
      <c r="R430" s="492"/>
      <c r="S430" s="492"/>
      <c r="T430" s="492"/>
      <c r="U430" s="493"/>
      <c r="V430" s="493"/>
      <c r="W430" s="491"/>
      <c r="X430" s="492"/>
      <c r="Y430" s="492"/>
      <c r="Z430" s="492"/>
      <c r="AA430" s="492"/>
      <c r="AB430" s="493"/>
      <c r="AC430" s="494"/>
      <c r="AD430" s="486" t="s">
        <v>1252</v>
      </c>
      <c r="AE430" s="458"/>
      <c r="AF430" s="458">
        <v>35</v>
      </c>
      <c r="AI430" s="488"/>
      <c r="AJ430" s="489"/>
      <c r="AK430" s="490"/>
    </row>
    <row r="431" spans="1:37" x14ac:dyDescent="0.25">
      <c r="A431" s="483"/>
      <c r="B431" s="484"/>
      <c r="C431" s="485"/>
      <c r="D431" s="485"/>
      <c r="E431" s="485"/>
      <c r="F431" s="485"/>
      <c r="G431" s="486"/>
      <c r="H431" s="487"/>
      <c r="I431" s="484"/>
      <c r="J431" s="485"/>
      <c r="K431" s="485"/>
      <c r="L431" s="485"/>
      <c r="M431" s="485"/>
      <c r="N431" s="486"/>
      <c r="O431" s="487"/>
      <c r="P431" s="485"/>
      <c r="Q431" s="485"/>
      <c r="R431" s="485"/>
      <c r="S431" s="485"/>
      <c r="T431" s="485"/>
      <c r="U431" s="486"/>
      <c r="V431" s="486"/>
      <c r="W431" s="484"/>
      <c r="X431" s="485"/>
      <c r="Y431" s="485"/>
      <c r="Z431" s="485"/>
      <c r="AA431" s="485"/>
      <c r="AB431" s="486"/>
      <c r="AC431" s="487"/>
      <c r="AD431" s="486"/>
      <c r="AE431" s="458"/>
      <c r="AI431" s="488"/>
      <c r="AJ431" s="489"/>
      <c r="AK431" s="490"/>
    </row>
    <row r="432" spans="1:37" x14ac:dyDescent="0.25">
      <c r="A432" s="483" t="s">
        <v>943</v>
      </c>
      <c r="B432" s="496"/>
      <c r="C432" s="497"/>
      <c r="D432" s="497"/>
      <c r="E432" s="497"/>
      <c r="F432" s="497"/>
      <c r="G432" s="278"/>
      <c r="H432" s="498">
        <v>2</v>
      </c>
      <c r="I432" s="491"/>
      <c r="J432" s="492"/>
      <c r="K432" s="492"/>
      <c r="L432" s="492"/>
      <c r="M432" s="492"/>
      <c r="N432" s="493"/>
      <c r="O432" s="494"/>
      <c r="P432" s="492"/>
      <c r="Q432" s="492"/>
      <c r="R432" s="492"/>
      <c r="S432" s="492"/>
      <c r="T432" s="492"/>
      <c r="U432" s="493"/>
      <c r="V432" s="493"/>
      <c r="W432" s="491"/>
      <c r="X432" s="492"/>
      <c r="Y432" s="492"/>
      <c r="Z432" s="492"/>
      <c r="AA432" s="492"/>
      <c r="AB432" s="493"/>
      <c r="AC432" s="494"/>
      <c r="AD432" s="486" t="s">
        <v>1073</v>
      </c>
      <c r="AE432" s="458">
        <v>45</v>
      </c>
      <c r="AI432" s="488"/>
      <c r="AJ432" s="489"/>
      <c r="AK432" s="490"/>
    </row>
    <row r="433" spans="1:37" x14ac:dyDescent="0.25">
      <c r="A433" s="483" t="s">
        <v>947</v>
      </c>
      <c r="B433" s="496"/>
      <c r="C433" s="497"/>
      <c r="D433" s="497"/>
      <c r="E433" s="497"/>
      <c r="F433" s="497"/>
      <c r="G433" s="278"/>
      <c r="H433" s="498">
        <v>2</v>
      </c>
      <c r="I433" s="491"/>
      <c r="J433" s="492"/>
      <c r="K433" s="492"/>
      <c r="L433" s="492"/>
      <c r="M433" s="492"/>
      <c r="N433" s="493"/>
      <c r="O433" s="494"/>
      <c r="P433" s="492"/>
      <c r="Q433" s="492"/>
      <c r="R433" s="492"/>
      <c r="S433" s="492"/>
      <c r="T433" s="492"/>
      <c r="U433" s="493"/>
      <c r="V433" s="493"/>
      <c r="W433" s="491"/>
      <c r="X433" s="492"/>
      <c r="Y433" s="492"/>
      <c r="Z433" s="492"/>
      <c r="AA433" s="492"/>
      <c r="AB433" s="493"/>
      <c r="AC433" s="494"/>
      <c r="AD433" s="486" t="s">
        <v>1073</v>
      </c>
      <c r="AE433" s="458">
        <v>45</v>
      </c>
      <c r="AI433" s="488"/>
      <c r="AJ433" s="489"/>
      <c r="AK433" s="490"/>
    </row>
    <row r="434" spans="1:37" x14ac:dyDescent="0.25">
      <c r="A434" s="483" t="s">
        <v>948</v>
      </c>
      <c r="B434" s="496"/>
      <c r="C434" s="497"/>
      <c r="D434" s="497"/>
      <c r="E434" s="497"/>
      <c r="F434" s="497"/>
      <c r="G434" s="278"/>
      <c r="H434" s="498">
        <v>2</v>
      </c>
      <c r="I434" s="491"/>
      <c r="J434" s="492"/>
      <c r="K434" s="492"/>
      <c r="L434" s="492"/>
      <c r="M434" s="492"/>
      <c r="N434" s="493"/>
      <c r="O434" s="494"/>
      <c r="P434" s="492"/>
      <c r="Q434" s="492"/>
      <c r="R434" s="492"/>
      <c r="S434" s="492"/>
      <c r="T434" s="492"/>
      <c r="U434" s="493"/>
      <c r="V434" s="493"/>
      <c r="W434" s="491"/>
      <c r="X434" s="492"/>
      <c r="Y434" s="492"/>
      <c r="Z434" s="492"/>
      <c r="AA434" s="492"/>
      <c r="AB434" s="493"/>
      <c r="AC434" s="494"/>
      <c r="AD434" s="486" t="s">
        <v>1073</v>
      </c>
      <c r="AE434" s="458">
        <v>45</v>
      </c>
      <c r="AI434" s="488"/>
      <c r="AJ434" s="489"/>
      <c r="AK434" s="490"/>
    </row>
    <row r="435" spans="1:37" x14ac:dyDescent="0.25">
      <c r="A435" s="483" t="s">
        <v>949</v>
      </c>
      <c r="B435" s="496"/>
      <c r="C435" s="497"/>
      <c r="D435" s="497"/>
      <c r="E435" s="497"/>
      <c r="F435" s="497"/>
      <c r="G435" s="278"/>
      <c r="H435" s="498">
        <v>2</v>
      </c>
      <c r="I435" s="491"/>
      <c r="J435" s="492"/>
      <c r="K435" s="492"/>
      <c r="L435" s="492"/>
      <c r="M435" s="492"/>
      <c r="N435" s="493"/>
      <c r="O435" s="494"/>
      <c r="P435" s="492"/>
      <c r="Q435" s="492"/>
      <c r="R435" s="492"/>
      <c r="S435" s="492"/>
      <c r="T435" s="492"/>
      <c r="U435" s="493"/>
      <c r="V435" s="493"/>
      <c r="W435" s="491"/>
      <c r="X435" s="492"/>
      <c r="Y435" s="492"/>
      <c r="Z435" s="492"/>
      <c r="AA435" s="492"/>
      <c r="AB435" s="493"/>
      <c r="AC435" s="494"/>
      <c r="AD435" s="486" t="s">
        <v>1073</v>
      </c>
      <c r="AE435" s="458">
        <v>45</v>
      </c>
      <c r="AI435" s="488"/>
      <c r="AJ435" s="489"/>
      <c r="AK435" s="490"/>
    </row>
    <row r="436" spans="1:37" x14ac:dyDescent="0.25">
      <c r="A436" s="483" t="s">
        <v>950</v>
      </c>
      <c r="B436" s="496"/>
      <c r="C436" s="497"/>
      <c r="D436" s="497"/>
      <c r="E436" s="497"/>
      <c r="F436" s="497"/>
      <c r="G436" s="278"/>
      <c r="H436" s="498">
        <v>2</v>
      </c>
      <c r="I436" s="491"/>
      <c r="J436" s="492"/>
      <c r="K436" s="492"/>
      <c r="L436" s="492"/>
      <c r="M436" s="492"/>
      <c r="N436" s="493"/>
      <c r="O436" s="494"/>
      <c r="P436" s="492"/>
      <c r="Q436" s="492"/>
      <c r="R436" s="492"/>
      <c r="S436" s="492"/>
      <c r="T436" s="492"/>
      <c r="U436" s="493"/>
      <c r="V436" s="493"/>
      <c r="W436" s="491"/>
      <c r="X436" s="492"/>
      <c r="Y436" s="492"/>
      <c r="Z436" s="492"/>
      <c r="AA436" s="492"/>
      <c r="AB436" s="493"/>
      <c r="AC436" s="494"/>
      <c r="AD436" s="486" t="s">
        <v>1073</v>
      </c>
      <c r="AE436" s="458">
        <v>45</v>
      </c>
      <c r="AI436" s="488"/>
      <c r="AJ436" s="489"/>
      <c r="AK436" s="490"/>
    </row>
    <row r="437" spans="1:37" x14ac:dyDescent="0.25">
      <c r="A437" s="483" t="s">
        <v>964</v>
      </c>
      <c r="B437" s="496"/>
      <c r="C437" s="497"/>
      <c r="D437" s="497"/>
      <c r="E437" s="497"/>
      <c r="F437" s="497"/>
      <c r="G437" s="278"/>
      <c r="H437" s="498"/>
      <c r="I437" s="491"/>
      <c r="J437" s="492"/>
      <c r="K437" s="492"/>
      <c r="L437" s="492"/>
      <c r="M437" s="492"/>
      <c r="N437" s="493"/>
      <c r="O437" s="494"/>
      <c r="P437" s="492"/>
      <c r="Q437" s="492"/>
      <c r="R437" s="492"/>
      <c r="S437" s="492"/>
      <c r="T437" s="492"/>
      <c r="U437" s="493"/>
      <c r="V437" s="493"/>
      <c r="W437" s="491"/>
      <c r="X437" s="492"/>
      <c r="Y437" s="492"/>
      <c r="Z437" s="492"/>
      <c r="AA437" s="492"/>
      <c r="AB437" s="493"/>
      <c r="AC437" s="494"/>
      <c r="AD437" s="486"/>
      <c r="AE437" s="458"/>
      <c r="AI437" s="488"/>
      <c r="AJ437" s="489"/>
      <c r="AK437" s="490"/>
    </row>
    <row r="438" spans="1:37" x14ac:dyDescent="0.25">
      <c r="A438" s="483"/>
      <c r="B438" s="496"/>
      <c r="C438" s="497"/>
      <c r="D438" s="497"/>
      <c r="E438" s="497"/>
      <c r="F438" s="497"/>
      <c r="G438" s="278"/>
      <c r="H438" s="487"/>
      <c r="I438" s="484"/>
      <c r="J438" s="485"/>
      <c r="K438" s="485"/>
      <c r="L438" s="485"/>
      <c r="M438" s="485"/>
      <c r="N438" s="486"/>
      <c r="O438" s="487"/>
      <c r="P438" s="485"/>
      <c r="Q438" s="485"/>
      <c r="R438" s="485"/>
      <c r="S438" s="485"/>
      <c r="T438" s="485"/>
      <c r="U438" s="486"/>
      <c r="V438" s="486"/>
      <c r="W438" s="484"/>
      <c r="X438" s="485"/>
      <c r="Y438" s="485"/>
      <c r="Z438" s="485"/>
      <c r="AA438" s="485"/>
      <c r="AB438" s="486"/>
      <c r="AC438" s="487"/>
      <c r="AD438" s="486"/>
      <c r="AE438" s="458"/>
      <c r="AI438" s="488"/>
      <c r="AJ438" s="489"/>
      <c r="AK438" s="490"/>
    </row>
    <row r="439" spans="1:37" x14ac:dyDescent="0.25">
      <c r="A439" s="483" t="s">
        <v>1054</v>
      </c>
      <c r="B439" s="496"/>
      <c r="C439" s="497"/>
      <c r="D439" s="497"/>
      <c r="E439" s="497"/>
      <c r="F439" s="497"/>
      <c r="G439" s="278"/>
      <c r="H439" s="498">
        <v>1</v>
      </c>
      <c r="I439" s="491"/>
      <c r="J439" s="492"/>
      <c r="K439" s="492"/>
      <c r="L439" s="492"/>
      <c r="M439" s="492"/>
      <c r="N439" s="493"/>
      <c r="O439" s="494"/>
      <c r="P439" s="492"/>
      <c r="Q439" s="492"/>
      <c r="R439" s="492"/>
      <c r="S439" s="492"/>
      <c r="T439" s="492"/>
      <c r="U439" s="493"/>
      <c r="V439" s="493"/>
      <c r="W439" s="491"/>
      <c r="X439" s="492"/>
      <c r="Y439" s="492"/>
      <c r="Z439" s="492"/>
      <c r="AA439" s="492"/>
      <c r="AB439" s="493"/>
      <c r="AC439" s="494"/>
      <c r="AD439" s="486" t="s">
        <v>1056</v>
      </c>
      <c r="AE439" s="458">
        <v>35</v>
      </c>
      <c r="AI439" s="488"/>
      <c r="AJ439" s="490">
        <v>505</v>
      </c>
      <c r="AK439" s="490" t="s">
        <v>1227</v>
      </c>
    </row>
    <row r="440" spans="1:37" x14ac:dyDescent="0.25">
      <c r="A440" s="483" t="s">
        <v>1057</v>
      </c>
      <c r="B440" s="484"/>
      <c r="C440" s="485"/>
      <c r="D440" s="485"/>
      <c r="E440" s="485"/>
      <c r="F440" s="485"/>
      <c r="G440" s="486"/>
      <c r="H440" s="487">
        <v>1</v>
      </c>
      <c r="I440" s="491"/>
      <c r="J440" s="492"/>
      <c r="K440" s="492"/>
      <c r="L440" s="492"/>
      <c r="M440" s="492"/>
      <c r="N440" s="493"/>
      <c r="O440" s="494"/>
      <c r="P440" s="492"/>
      <c r="Q440" s="492"/>
      <c r="R440" s="492"/>
      <c r="S440" s="492"/>
      <c r="T440" s="492"/>
      <c r="U440" s="493"/>
      <c r="V440" s="493"/>
      <c r="W440" s="491"/>
      <c r="X440" s="492"/>
      <c r="Y440" s="492"/>
      <c r="Z440" s="492"/>
      <c r="AA440" s="492"/>
      <c r="AB440" s="493"/>
      <c r="AC440" s="494"/>
      <c r="AD440" s="486" t="s">
        <v>1056</v>
      </c>
      <c r="AE440" s="458">
        <v>35</v>
      </c>
      <c r="AI440" s="488"/>
      <c r="AJ440" s="490">
        <v>506</v>
      </c>
      <c r="AK440" s="490" t="s">
        <v>1227</v>
      </c>
    </row>
    <row r="441" spans="1:37" x14ac:dyDescent="0.25">
      <c r="A441" s="483" t="s">
        <v>1059</v>
      </c>
      <c r="B441" s="484"/>
      <c r="C441" s="485"/>
      <c r="D441" s="485"/>
      <c r="E441" s="485"/>
      <c r="F441" s="485"/>
      <c r="G441" s="486"/>
      <c r="H441" s="487">
        <v>1</v>
      </c>
      <c r="I441" s="491"/>
      <c r="J441" s="492"/>
      <c r="K441" s="492"/>
      <c r="L441" s="492"/>
      <c r="M441" s="492"/>
      <c r="N441" s="493"/>
      <c r="O441" s="494"/>
      <c r="P441" s="492"/>
      <c r="Q441" s="492"/>
      <c r="R441" s="492"/>
      <c r="S441" s="492"/>
      <c r="T441" s="492"/>
      <c r="U441" s="493"/>
      <c r="V441" s="493"/>
      <c r="W441" s="491"/>
      <c r="X441" s="492"/>
      <c r="Y441" s="492"/>
      <c r="Z441" s="492"/>
      <c r="AA441" s="492"/>
      <c r="AB441" s="493"/>
      <c r="AC441" s="494"/>
      <c r="AD441" s="486" t="s">
        <v>1056</v>
      </c>
      <c r="AE441" s="458">
        <v>35</v>
      </c>
      <c r="AI441" s="488"/>
      <c r="AJ441" s="490">
        <v>504</v>
      </c>
      <c r="AK441" s="490" t="s">
        <v>1227</v>
      </c>
    </row>
    <row r="442" spans="1:37" x14ac:dyDescent="0.25">
      <c r="A442" s="483"/>
      <c r="B442" s="484"/>
      <c r="C442" s="485"/>
      <c r="D442" s="485"/>
      <c r="E442" s="485"/>
      <c r="F442" s="485"/>
      <c r="G442" s="486"/>
      <c r="H442" s="487"/>
      <c r="I442" s="484"/>
      <c r="J442" s="485"/>
      <c r="K442" s="485"/>
      <c r="L442" s="485"/>
      <c r="M442" s="485"/>
      <c r="N442" s="486"/>
      <c r="O442" s="487"/>
      <c r="P442" s="485"/>
      <c r="Q442" s="485"/>
      <c r="R442" s="485"/>
      <c r="S442" s="485"/>
      <c r="T442" s="485"/>
      <c r="U442" s="486"/>
      <c r="V442" s="486"/>
      <c r="W442" s="484"/>
      <c r="X442" s="485"/>
      <c r="Y442" s="485"/>
      <c r="Z442" s="485"/>
      <c r="AA442" s="485"/>
      <c r="AB442" s="486"/>
      <c r="AC442" s="487"/>
      <c r="AD442" s="486"/>
      <c r="AE442" s="458"/>
      <c r="AI442" s="488"/>
      <c r="AJ442" s="490"/>
      <c r="AK442" s="490"/>
    </row>
    <row r="443" spans="1:37" x14ac:dyDescent="0.25">
      <c r="A443" s="483" t="s">
        <v>889</v>
      </c>
      <c r="B443" s="484" t="s">
        <v>66</v>
      </c>
      <c r="C443" s="485" t="s">
        <v>66</v>
      </c>
      <c r="D443" s="485" t="s">
        <v>66</v>
      </c>
      <c r="E443" s="485"/>
      <c r="F443" s="485"/>
      <c r="G443" s="486"/>
      <c r="H443" s="487">
        <v>2</v>
      </c>
      <c r="I443" s="491"/>
      <c r="J443" s="492"/>
      <c r="K443" s="492"/>
      <c r="L443" s="492"/>
      <c r="M443" s="492"/>
      <c r="N443" s="493"/>
      <c r="O443" s="494"/>
      <c r="P443" s="492"/>
      <c r="Q443" s="492"/>
      <c r="R443" s="492"/>
      <c r="S443" s="492"/>
      <c r="T443" s="492"/>
      <c r="U443" s="493"/>
      <c r="V443" s="493"/>
      <c r="W443" s="491"/>
      <c r="X443" s="492"/>
      <c r="Y443" s="492"/>
      <c r="Z443" s="492"/>
      <c r="AA443" s="492"/>
      <c r="AB443" s="493"/>
      <c r="AC443" s="494"/>
      <c r="AD443" s="486" t="s">
        <v>867</v>
      </c>
      <c r="AE443" s="458"/>
      <c r="AI443" s="488"/>
      <c r="AJ443" s="490">
        <v>203</v>
      </c>
      <c r="AK443" s="490" t="s">
        <v>1253</v>
      </c>
    </row>
    <row r="444" spans="1:37" x14ac:dyDescent="0.25">
      <c r="A444" s="483" t="s">
        <v>892</v>
      </c>
      <c r="B444" s="484" t="s">
        <v>66</v>
      </c>
      <c r="C444" s="485"/>
      <c r="D444" s="485" t="s">
        <v>66</v>
      </c>
      <c r="E444" s="485" t="s">
        <v>66</v>
      </c>
      <c r="F444" s="485"/>
      <c r="G444" s="486"/>
      <c r="H444" s="487">
        <v>1</v>
      </c>
      <c r="I444" s="491"/>
      <c r="J444" s="492"/>
      <c r="K444" s="492"/>
      <c r="L444" s="492"/>
      <c r="M444" s="492"/>
      <c r="N444" s="493"/>
      <c r="O444" s="494"/>
      <c r="P444" s="492"/>
      <c r="Q444" s="492"/>
      <c r="R444" s="492"/>
      <c r="S444" s="492"/>
      <c r="T444" s="492"/>
      <c r="U444" s="493"/>
      <c r="V444" s="493"/>
      <c r="W444" s="491"/>
      <c r="X444" s="492"/>
      <c r="Y444" s="492"/>
      <c r="Z444" s="492"/>
      <c r="AA444" s="492"/>
      <c r="AB444" s="493"/>
      <c r="AC444" s="494"/>
      <c r="AD444" s="486" t="s">
        <v>867</v>
      </c>
      <c r="AE444" s="458"/>
      <c r="AI444" s="488"/>
      <c r="AJ444" s="489"/>
      <c r="AK444" s="490" t="s">
        <v>1253</v>
      </c>
    </row>
    <row r="445" spans="1:37" x14ac:dyDescent="0.25">
      <c r="A445" s="483" t="s">
        <v>1315</v>
      </c>
      <c r="B445" s="484" t="s">
        <v>66</v>
      </c>
      <c r="C445" s="485"/>
      <c r="D445" s="485" t="s">
        <v>66</v>
      </c>
      <c r="E445" s="485" t="s">
        <v>66</v>
      </c>
      <c r="F445" s="485"/>
      <c r="G445" s="486"/>
      <c r="H445" s="487"/>
      <c r="I445" s="491"/>
      <c r="J445" s="492"/>
      <c r="K445" s="492"/>
      <c r="L445" s="492"/>
      <c r="M445" s="492"/>
      <c r="N445" s="493"/>
      <c r="O445" s="494"/>
      <c r="P445" s="492"/>
      <c r="Q445" s="492"/>
      <c r="R445" s="492"/>
      <c r="S445" s="492"/>
      <c r="T445" s="492"/>
      <c r="U445" s="493"/>
      <c r="V445" s="493"/>
      <c r="W445" s="491"/>
      <c r="X445" s="492"/>
      <c r="Y445" s="492"/>
      <c r="Z445" s="492"/>
      <c r="AA445" s="492"/>
      <c r="AB445" s="493"/>
      <c r="AC445" s="494"/>
      <c r="AD445" s="486" t="s">
        <v>867</v>
      </c>
      <c r="AE445" s="458"/>
      <c r="AI445" s="488"/>
      <c r="AJ445" s="489"/>
      <c r="AK445" s="490" t="s">
        <v>1253</v>
      </c>
    </row>
    <row r="446" spans="1:37" x14ac:dyDescent="0.25">
      <c r="A446" s="483" t="s">
        <v>1281</v>
      </c>
      <c r="B446" s="484"/>
      <c r="C446" s="485"/>
      <c r="D446" s="485"/>
      <c r="E446" s="485"/>
      <c r="F446" s="485"/>
      <c r="G446" s="486"/>
      <c r="H446" s="487">
        <v>1</v>
      </c>
      <c r="I446" s="491"/>
      <c r="J446" s="492"/>
      <c r="K446" s="492"/>
      <c r="L446" s="492"/>
      <c r="M446" s="492"/>
      <c r="N446" s="493"/>
      <c r="O446" s="494"/>
      <c r="P446" s="492"/>
      <c r="Q446" s="492"/>
      <c r="R446" s="492"/>
      <c r="S446" s="492"/>
      <c r="T446" s="492"/>
      <c r="U446" s="493"/>
      <c r="V446" s="493"/>
      <c r="W446" s="491"/>
      <c r="X446" s="492"/>
      <c r="Y446" s="492"/>
      <c r="Z446" s="492"/>
      <c r="AA446" s="492"/>
      <c r="AB446" s="493"/>
      <c r="AC446" s="494"/>
      <c r="AD446" s="486" t="s">
        <v>867</v>
      </c>
      <c r="AE446" s="458"/>
      <c r="AI446" s="488"/>
      <c r="AJ446" s="489"/>
      <c r="AK446" s="490" t="s">
        <v>1253</v>
      </c>
    </row>
    <row r="447" spans="1:37" x14ac:dyDescent="0.25">
      <c r="A447" s="483" t="s">
        <v>894</v>
      </c>
      <c r="B447" s="484" t="s">
        <v>66</v>
      </c>
      <c r="C447" s="485"/>
      <c r="D447" s="485" t="s">
        <v>66</v>
      </c>
      <c r="E447" s="485"/>
      <c r="F447" s="485"/>
      <c r="G447" s="486"/>
      <c r="H447" s="487">
        <v>2</v>
      </c>
      <c r="I447" s="491"/>
      <c r="J447" s="492"/>
      <c r="K447" s="492"/>
      <c r="L447" s="492"/>
      <c r="M447" s="492"/>
      <c r="N447" s="493"/>
      <c r="O447" s="494"/>
      <c r="P447" s="492"/>
      <c r="Q447" s="492"/>
      <c r="R447" s="492"/>
      <c r="S447" s="492"/>
      <c r="T447" s="492"/>
      <c r="U447" s="493"/>
      <c r="V447" s="493"/>
      <c r="W447" s="491"/>
      <c r="X447" s="492"/>
      <c r="Y447" s="492"/>
      <c r="Z447" s="492"/>
      <c r="AA447" s="492"/>
      <c r="AB447" s="493"/>
      <c r="AC447" s="494"/>
      <c r="AD447" s="486" t="s">
        <v>867</v>
      </c>
      <c r="AE447" s="458"/>
      <c r="AI447" s="488"/>
      <c r="AJ447" s="490">
        <v>205</v>
      </c>
      <c r="AK447" s="490" t="s">
        <v>1253</v>
      </c>
    </row>
    <row r="448" spans="1:37" x14ac:dyDescent="0.25">
      <c r="A448" s="483" t="s">
        <v>895</v>
      </c>
      <c r="B448" s="484"/>
      <c r="C448" s="485"/>
      <c r="D448" s="485"/>
      <c r="E448" s="485"/>
      <c r="F448" s="485"/>
      <c r="G448" s="486"/>
      <c r="H448" s="487">
        <v>1</v>
      </c>
      <c r="I448" s="491"/>
      <c r="J448" s="492"/>
      <c r="K448" s="492"/>
      <c r="L448" s="492"/>
      <c r="M448" s="492"/>
      <c r="N448" s="493"/>
      <c r="O448" s="494"/>
      <c r="P448" s="492"/>
      <c r="Q448" s="492"/>
      <c r="R448" s="492"/>
      <c r="S448" s="492"/>
      <c r="T448" s="492"/>
      <c r="U448" s="493"/>
      <c r="V448" s="493"/>
      <c r="W448" s="491"/>
      <c r="X448" s="492"/>
      <c r="Y448" s="492"/>
      <c r="Z448" s="492"/>
      <c r="AA448" s="492"/>
      <c r="AB448" s="493"/>
      <c r="AC448" s="494"/>
      <c r="AD448" s="486" t="s">
        <v>867</v>
      </c>
      <c r="AE448" s="458"/>
      <c r="AI448" s="488"/>
      <c r="AJ448" s="490">
        <v>206</v>
      </c>
      <c r="AK448" s="490" t="s">
        <v>1254</v>
      </c>
    </row>
    <row r="449" spans="1:37" x14ac:dyDescent="0.25">
      <c r="A449" s="483" t="s">
        <v>896</v>
      </c>
      <c r="B449" s="484"/>
      <c r="C449" s="485"/>
      <c r="D449" s="485"/>
      <c r="E449" s="485"/>
      <c r="F449" s="485"/>
      <c r="G449" s="486"/>
      <c r="H449" s="487">
        <v>1</v>
      </c>
      <c r="I449" s="491"/>
      <c r="J449" s="492"/>
      <c r="K449" s="492"/>
      <c r="L449" s="492"/>
      <c r="M449" s="492"/>
      <c r="N449" s="493"/>
      <c r="O449" s="494"/>
      <c r="P449" s="492"/>
      <c r="Q449" s="492"/>
      <c r="R449" s="492"/>
      <c r="S449" s="492"/>
      <c r="T449" s="492"/>
      <c r="U449" s="493"/>
      <c r="V449" s="493"/>
      <c r="W449" s="491"/>
      <c r="X449" s="492"/>
      <c r="Y449" s="492"/>
      <c r="Z449" s="492"/>
      <c r="AA449" s="492"/>
      <c r="AB449" s="493"/>
      <c r="AC449" s="494"/>
      <c r="AD449" s="486" t="s">
        <v>867</v>
      </c>
      <c r="AE449" s="458"/>
      <c r="AI449" s="488"/>
      <c r="AJ449" s="490">
        <v>512</v>
      </c>
      <c r="AK449" s="490" t="s">
        <v>1253</v>
      </c>
    </row>
    <row r="450" spans="1:37" x14ac:dyDescent="0.25">
      <c r="A450" s="483" t="s">
        <v>898</v>
      </c>
      <c r="B450" s="484"/>
      <c r="C450" s="485"/>
      <c r="D450" s="485"/>
      <c r="E450" s="485"/>
      <c r="F450" s="485"/>
      <c r="G450" s="486"/>
      <c r="H450" s="487">
        <v>1</v>
      </c>
      <c r="I450" s="491"/>
      <c r="J450" s="492"/>
      <c r="K450" s="492"/>
      <c r="L450" s="492"/>
      <c r="M450" s="492"/>
      <c r="N450" s="493"/>
      <c r="O450" s="494"/>
      <c r="P450" s="492"/>
      <c r="Q450" s="492"/>
      <c r="R450" s="492"/>
      <c r="S450" s="492"/>
      <c r="T450" s="492"/>
      <c r="U450" s="493"/>
      <c r="V450" s="493"/>
      <c r="W450" s="491"/>
      <c r="X450" s="492"/>
      <c r="Y450" s="492"/>
      <c r="Z450" s="492"/>
      <c r="AA450" s="492"/>
      <c r="AB450" s="493"/>
      <c r="AC450" s="494"/>
      <c r="AD450" s="486" t="s">
        <v>867</v>
      </c>
      <c r="AE450" s="458"/>
      <c r="AI450" s="488"/>
      <c r="AJ450" s="489"/>
      <c r="AK450" s="490" t="s">
        <v>1253</v>
      </c>
    </row>
    <row r="451" spans="1:37" x14ac:dyDescent="0.25">
      <c r="A451" s="483" t="s">
        <v>1062</v>
      </c>
      <c r="B451" s="484"/>
      <c r="C451" s="485"/>
      <c r="D451" s="485"/>
      <c r="E451" s="485"/>
      <c r="F451" s="485"/>
      <c r="G451" s="486"/>
      <c r="H451" s="487">
        <v>2</v>
      </c>
      <c r="I451" s="491"/>
      <c r="J451" s="492"/>
      <c r="K451" s="492"/>
      <c r="L451" s="492"/>
      <c r="M451" s="492"/>
      <c r="N451" s="493"/>
      <c r="O451" s="494"/>
      <c r="P451" s="492"/>
      <c r="Q451" s="492"/>
      <c r="R451" s="492"/>
      <c r="S451" s="492"/>
      <c r="T451" s="492"/>
      <c r="U451" s="493"/>
      <c r="V451" s="493"/>
      <c r="W451" s="491"/>
      <c r="X451" s="492"/>
      <c r="Y451" s="492"/>
      <c r="Z451" s="492"/>
      <c r="AA451" s="492"/>
      <c r="AB451" s="493"/>
      <c r="AC451" s="494"/>
      <c r="AD451" s="486" t="s">
        <v>867</v>
      </c>
      <c r="AE451" s="458"/>
      <c r="AI451" s="488"/>
      <c r="AJ451" s="489"/>
      <c r="AK451" s="490" t="s">
        <v>1253</v>
      </c>
    </row>
    <row r="452" spans="1:37" s="458" customFormat="1" x14ac:dyDescent="0.25">
      <c r="A452" s="483"/>
      <c r="B452" s="484"/>
      <c r="C452" s="485"/>
      <c r="D452" s="485"/>
      <c r="E452" s="485"/>
      <c r="F452" s="485"/>
      <c r="G452" s="486"/>
      <c r="H452" s="487"/>
      <c r="I452" s="484"/>
      <c r="J452" s="485"/>
      <c r="K452" s="485"/>
      <c r="L452" s="485"/>
      <c r="M452" s="485"/>
      <c r="N452" s="486"/>
      <c r="O452" s="487"/>
      <c r="P452" s="485"/>
      <c r="Q452" s="485"/>
      <c r="R452" s="485"/>
      <c r="S452" s="485"/>
      <c r="T452" s="485"/>
      <c r="U452" s="486"/>
      <c r="V452" s="486"/>
      <c r="W452" s="484"/>
      <c r="X452" s="485"/>
      <c r="Y452" s="485"/>
      <c r="Z452" s="485"/>
      <c r="AA452" s="485"/>
      <c r="AB452" s="486"/>
      <c r="AC452" s="487"/>
      <c r="AD452" s="486"/>
      <c r="AI452" s="488"/>
      <c r="AJ452" s="489"/>
      <c r="AK452" s="490"/>
    </row>
    <row r="453" spans="1:37" x14ac:dyDescent="0.25">
      <c r="A453" s="483" t="s">
        <v>1465</v>
      </c>
      <c r="B453" s="484"/>
      <c r="C453" s="485"/>
      <c r="D453" s="485"/>
      <c r="E453" s="485"/>
      <c r="F453" s="485"/>
      <c r="G453" s="486"/>
      <c r="H453" s="487">
        <v>1</v>
      </c>
      <c r="I453" s="491"/>
      <c r="J453" s="492"/>
      <c r="K453" s="492"/>
      <c r="L453" s="492"/>
      <c r="M453" s="492"/>
      <c r="N453" s="493"/>
      <c r="O453" s="494"/>
      <c r="P453" s="492"/>
      <c r="Q453" s="492"/>
      <c r="R453" s="492"/>
      <c r="S453" s="492"/>
      <c r="T453" s="492"/>
      <c r="U453" s="493"/>
      <c r="V453" s="493"/>
      <c r="W453" s="491"/>
      <c r="X453" s="492"/>
      <c r="Y453" s="492"/>
      <c r="Z453" s="492"/>
      <c r="AA453" s="492"/>
      <c r="AB453" s="493"/>
      <c r="AC453" s="494"/>
      <c r="AD453" s="486" t="s">
        <v>867</v>
      </c>
      <c r="AE453" s="458">
        <v>25</v>
      </c>
      <c r="AI453" s="488"/>
      <c r="AJ453" s="489"/>
      <c r="AK453" s="490" t="s">
        <v>1255</v>
      </c>
    </row>
    <row r="454" spans="1:37" x14ac:dyDescent="0.25">
      <c r="A454" s="483" t="s">
        <v>1461</v>
      </c>
      <c r="B454" s="484" t="s">
        <v>56</v>
      </c>
      <c r="C454" s="485"/>
      <c r="D454" s="485"/>
      <c r="E454" s="485"/>
      <c r="F454" s="485"/>
      <c r="G454" s="486"/>
      <c r="H454" s="487">
        <v>1</v>
      </c>
      <c r="I454" s="491"/>
      <c r="J454" s="492"/>
      <c r="K454" s="492"/>
      <c r="L454" s="492"/>
      <c r="M454" s="492"/>
      <c r="N454" s="493"/>
      <c r="O454" s="494"/>
      <c r="P454" s="492"/>
      <c r="Q454" s="492"/>
      <c r="R454" s="492"/>
      <c r="S454" s="492"/>
      <c r="T454" s="492"/>
      <c r="U454" s="493"/>
      <c r="V454" s="493"/>
      <c r="W454" s="491"/>
      <c r="X454" s="492"/>
      <c r="Y454" s="492"/>
      <c r="Z454" s="492"/>
      <c r="AA454" s="492"/>
      <c r="AB454" s="493"/>
      <c r="AC454" s="494"/>
      <c r="AD454" s="486" t="s">
        <v>867</v>
      </c>
      <c r="AE454" s="458">
        <v>25</v>
      </c>
      <c r="AI454" s="488"/>
      <c r="AJ454" s="489"/>
      <c r="AK454" s="490" t="s">
        <v>1255</v>
      </c>
    </row>
    <row r="455" spans="1:37" x14ac:dyDescent="0.25">
      <c r="A455" s="483" t="s">
        <v>1460</v>
      </c>
      <c r="B455" s="484" t="s">
        <v>66</v>
      </c>
      <c r="C455" s="485"/>
      <c r="D455" s="485" t="s">
        <v>66</v>
      </c>
      <c r="E455" s="485" t="s">
        <v>66</v>
      </c>
      <c r="F455" s="485"/>
      <c r="G455" s="486"/>
      <c r="H455" s="487"/>
      <c r="I455" s="491"/>
      <c r="J455" s="492"/>
      <c r="K455" s="492"/>
      <c r="L455" s="492"/>
      <c r="M455" s="492"/>
      <c r="N455" s="493"/>
      <c r="O455" s="494"/>
      <c r="P455" s="492"/>
      <c r="Q455" s="492"/>
      <c r="R455" s="492"/>
      <c r="S455" s="492"/>
      <c r="T455" s="492"/>
      <c r="U455" s="493"/>
      <c r="V455" s="493"/>
      <c r="W455" s="491"/>
      <c r="X455" s="492"/>
      <c r="Y455" s="492"/>
      <c r="Z455" s="492"/>
      <c r="AA455" s="492"/>
      <c r="AB455" s="493"/>
      <c r="AC455" s="494"/>
      <c r="AD455" s="486"/>
      <c r="AE455" s="458"/>
      <c r="AI455" s="488"/>
      <c r="AJ455" s="489"/>
      <c r="AK455" s="490"/>
    </row>
    <row r="456" spans="1:37" x14ac:dyDescent="0.25">
      <c r="A456" s="483" t="s">
        <v>1467</v>
      </c>
      <c r="B456" s="484" t="s">
        <v>66</v>
      </c>
      <c r="C456" s="485"/>
      <c r="D456" s="485" t="s">
        <v>66</v>
      </c>
      <c r="E456" s="485" t="s">
        <v>66</v>
      </c>
      <c r="F456" s="485"/>
      <c r="G456" s="486"/>
      <c r="H456" s="487"/>
      <c r="I456" s="491"/>
      <c r="J456" s="492"/>
      <c r="K456" s="492"/>
      <c r="L456" s="492"/>
      <c r="M456" s="492"/>
      <c r="N456" s="493"/>
      <c r="O456" s="494"/>
      <c r="P456" s="492"/>
      <c r="Q456" s="492"/>
      <c r="R456" s="492"/>
      <c r="S456" s="492"/>
      <c r="T456" s="492"/>
      <c r="U456" s="493"/>
      <c r="V456" s="493"/>
      <c r="W456" s="491"/>
      <c r="X456" s="492"/>
      <c r="Y456" s="492"/>
      <c r="Z456" s="492"/>
      <c r="AA456" s="492"/>
      <c r="AB456" s="493"/>
      <c r="AC456" s="494"/>
      <c r="AD456" s="486"/>
      <c r="AE456" s="458"/>
      <c r="AI456" s="488"/>
      <c r="AJ456" s="489"/>
      <c r="AK456" s="490"/>
    </row>
    <row r="457" spans="1:37" x14ac:dyDescent="0.25">
      <c r="A457" s="483" t="s">
        <v>865</v>
      </c>
      <c r="B457" s="484"/>
      <c r="C457" s="485"/>
      <c r="D457" s="485"/>
      <c r="E457" s="485"/>
      <c r="F457" s="485"/>
      <c r="G457" s="486"/>
      <c r="H457" s="487">
        <v>1</v>
      </c>
      <c r="I457" s="491"/>
      <c r="J457" s="492"/>
      <c r="K457" s="492"/>
      <c r="L457" s="492"/>
      <c r="M457" s="492"/>
      <c r="N457" s="493"/>
      <c r="O457" s="494"/>
      <c r="P457" s="492"/>
      <c r="Q457" s="492"/>
      <c r="R457" s="492"/>
      <c r="S457" s="492"/>
      <c r="T457" s="492"/>
      <c r="U457" s="493"/>
      <c r="V457" s="493"/>
      <c r="W457" s="491"/>
      <c r="X457" s="492"/>
      <c r="Y457" s="492"/>
      <c r="Z457" s="492"/>
      <c r="AA457" s="492"/>
      <c r="AB457" s="493"/>
      <c r="AC457" s="494"/>
      <c r="AD457" s="486" t="s">
        <v>1256</v>
      </c>
      <c r="AE457" s="458">
        <v>25</v>
      </c>
      <c r="AI457" s="488"/>
      <c r="AJ457" s="490">
        <v>531</v>
      </c>
      <c r="AK457" s="490" t="s">
        <v>1255</v>
      </c>
    </row>
    <row r="458" spans="1:37" x14ac:dyDescent="0.25">
      <c r="A458" s="483" t="s">
        <v>1466</v>
      </c>
      <c r="B458" s="484" t="s">
        <v>56</v>
      </c>
      <c r="C458" s="485"/>
      <c r="D458" s="485"/>
      <c r="E458" s="485"/>
      <c r="F458" s="485"/>
      <c r="G458" s="486"/>
      <c r="H458" s="487">
        <v>1</v>
      </c>
      <c r="I458" s="491"/>
      <c r="J458" s="492"/>
      <c r="K458" s="492"/>
      <c r="L458" s="492"/>
      <c r="M458" s="492"/>
      <c r="N458" s="493"/>
      <c r="O458" s="494"/>
      <c r="P458" s="492"/>
      <c r="Q458" s="492"/>
      <c r="R458" s="492"/>
      <c r="S458" s="492"/>
      <c r="T458" s="492"/>
      <c r="U458" s="493"/>
      <c r="V458" s="493"/>
      <c r="W458" s="491"/>
      <c r="X458" s="492"/>
      <c r="Y458" s="492"/>
      <c r="Z458" s="492"/>
      <c r="AA458" s="492"/>
      <c r="AB458" s="493"/>
      <c r="AC458" s="494"/>
      <c r="AD458" s="486" t="s">
        <v>1256</v>
      </c>
      <c r="AE458" s="458">
        <v>25</v>
      </c>
      <c r="AI458" s="488"/>
      <c r="AJ458" s="490">
        <v>527</v>
      </c>
      <c r="AK458" s="490" t="s">
        <v>1255</v>
      </c>
    </row>
    <row r="459" spans="1:37" x14ac:dyDescent="0.25">
      <c r="A459" s="483" t="s">
        <v>868</v>
      </c>
      <c r="B459" s="484"/>
      <c r="C459" s="485"/>
      <c r="D459" s="485"/>
      <c r="E459" s="485"/>
      <c r="F459" s="485"/>
      <c r="G459" s="486"/>
      <c r="H459" s="487">
        <v>1</v>
      </c>
      <c r="I459" s="491"/>
      <c r="J459" s="492"/>
      <c r="K459" s="492"/>
      <c r="L459" s="492"/>
      <c r="M459" s="492"/>
      <c r="N459" s="493"/>
      <c r="O459" s="494"/>
      <c r="P459" s="492"/>
      <c r="Q459" s="492"/>
      <c r="R459" s="492"/>
      <c r="S459" s="492"/>
      <c r="T459" s="492"/>
      <c r="U459" s="493"/>
      <c r="V459" s="493"/>
      <c r="W459" s="491"/>
      <c r="X459" s="492"/>
      <c r="Y459" s="492"/>
      <c r="Z459" s="492"/>
      <c r="AA459" s="492"/>
      <c r="AB459" s="493"/>
      <c r="AC459" s="494"/>
      <c r="AD459" s="486" t="s">
        <v>1257</v>
      </c>
      <c r="AE459" s="458">
        <v>25</v>
      </c>
      <c r="AI459" s="488"/>
      <c r="AJ459" s="489"/>
      <c r="AK459" s="490"/>
    </row>
    <row r="460" spans="1:37" x14ac:dyDescent="0.25">
      <c r="A460" s="483" t="s">
        <v>1312</v>
      </c>
      <c r="B460" s="484"/>
      <c r="C460" s="485"/>
      <c r="D460" s="485"/>
      <c r="E460" s="485"/>
      <c r="F460" s="485"/>
      <c r="G460" s="486"/>
      <c r="H460" s="487"/>
      <c r="I460" s="491"/>
      <c r="J460" s="492"/>
      <c r="K460" s="492"/>
      <c r="L460" s="492"/>
      <c r="M460" s="492"/>
      <c r="N460" s="493"/>
      <c r="O460" s="494"/>
      <c r="P460" s="492"/>
      <c r="Q460" s="492"/>
      <c r="R460" s="492"/>
      <c r="S460" s="492"/>
      <c r="T460" s="492"/>
      <c r="U460" s="493"/>
      <c r="V460" s="493"/>
      <c r="W460" s="491"/>
      <c r="X460" s="492"/>
      <c r="Y460" s="492"/>
      <c r="Z460" s="492"/>
      <c r="AA460" s="492"/>
      <c r="AB460" s="493"/>
      <c r="AC460" s="494"/>
      <c r="AD460" s="486" t="s">
        <v>1257</v>
      </c>
      <c r="AE460" s="458">
        <v>25</v>
      </c>
      <c r="AI460" s="488"/>
      <c r="AJ460" s="489"/>
      <c r="AK460" s="490"/>
    </row>
    <row r="461" spans="1:37" x14ac:dyDescent="0.25">
      <c r="A461" s="483" t="s">
        <v>1462</v>
      </c>
      <c r="B461" s="484" t="s">
        <v>56</v>
      </c>
      <c r="C461" s="485"/>
      <c r="D461" s="485"/>
      <c r="E461" s="485"/>
      <c r="F461" s="485"/>
      <c r="G461" s="486"/>
      <c r="H461" s="487">
        <v>2</v>
      </c>
      <c r="I461" s="491"/>
      <c r="J461" s="492"/>
      <c r="K461" s="492"/>
      <c r="L461" s="492"/>
      <c r="M461" s="492"/>
      <c r="N461" s="493"/>
      <c r="O461" s="494"/>
      <c r="P461" s="492"/>
      <c r="Q461" s="492"/>
      <c r="R461" s="492"/>
      <c r="S461" s="492"/>
      <c r="T461" s="492"/>
      <c r="U461" s="493"/>
      <c r="V461" s="493"/>
      <c r="W461" s="491"/>
      <c r="X461" s="492"/>
      <c r="Y461" s="492"/>
      <c r="Z461" s="492"/>
      <c r="AA461" s="492"/>
      <c r="AB461" s="493"/>
      <c r="AC461" s="494"/>
      <c r="AD461" s="486" t="s">
        <v>1256</v>
      </c>
      <c r="AE461" s="458">
        <v>25</v>
      </c>
      <c r="AI461" s="488"/>
      <c r="AJ461" s="489"/>
      <c r="AK461" s="490" t="s">
        <v>1255</v>
      </c>
    </row>
    <row r="462" spans="1:37" x14ac:dyDescent="0.25">
      <c r="A462" s="483" t="s">
        <v>1463</v>
      </c>
      <c r="B462" s="484" t="s">
        <v>56</v>
      </c>
      <c r="C462" s="485"/>
      <c r="D462" s="485"/>
      <c r="E462" s="485"/>
      <c r="F462" s="485"/>
      <c r="G462" s="486"/>
      <c r="H462" s="487">
        <v>1</v>
      </c>
      <c r="I462" s="491"/>
      <c r="J462" s="492"/>
      <c r="K462" s="492"/>
      <c r="L462" s="492"/>
      <c r="M462" s="492"/>
      <c r="N462" s="493"/>
      <c r="O462" s="494"/>
      <c r="P462" s="492"/>
      <c r="Q462" s="492"/>
      <c r="R462" s="492"/>
      <c r="S462" s="492"/>
      <c r="T462" s="492"/>
      <c r="U462" s="493"/>
      <c r="V462" s="493"/>
      <c r="W462" s="491"/>
      <c r="X462" s="492"/>
      <c r="Y462" s="492"/>
      <c r="Z462" s="492"/>
      <c r="AA462" s="492"/>
      <c r="AB462" s="493"/>
      <c r="AC462" s="494"/>
      <c r="AD462" s="486" t="s">
        <v>1256</v>
      </c>
      <c r="AE462" s="458">
        <v>25</v>
      </c>
      <c r="AI462" s="488"/>
      <c r="AJ462" s="489"/>
      <c r="AK462" s="490" t="s">
        <v>1255</v>
      </c>
    </row>
    <row r="463" spans="1:37" x14ac:dyDescent="0.25">
      <c r="A463" s="483" t="s">
        <v>1464</v>
      </c>
      <c r="B463" s="484" t="s">
        <v>56</v>
      </c>
      <c r="C463" s="485"/>
      <c r="D463" s="485"/>
      <c r="E463" s="485"/>
      <c r="F463" s="485"/>
      <c r="G463" s="486"/>
      <c r="H463" s="487">
        <v>2</v>
      </c>
      <c r="I463" s="491"/>
      <c r="J463" s="492"/>
      <c r="K463" s="492"/>
      <c r="L463" s="492"/>
      <c r="M463" s="492"/>
      <c r="N463" s="493"/>
      <c r="O463" s="494"/>
      <c r="P463" s="492"/>
      <c r="Q463" s="492"/>
      <c r="R463" s="492"/>
      <c r="S463" s="492"/>
      <c r="T463" s="492"/>
      <c r="U463" s="493"/>
      <c r="V463" s="493"/>
      <c r="W463" s="491"/>
      <c r="X463" s="492"/>
      <c r="Y463" s="492"/>
      <c r="Z463" s="492"/>
      <c r="AA463" s="492"/>
      <c r="AB463" s="493"/>
      <c r="AC463" s="494"/>
      <c r="AD463" s="486" t="s">
        <v>1256</v>
      </c>
      <c r="AE463" s="458">
        <v>25</v>
      </c>
      <c r="AI463" s="488"/>
      <c r="AJ463" s="490">
        <v>528</v>
      </c>
      <c r="AK463" s="490" t="s">
        <v>1255</v>
      </c>
    </row>
    <row r="464" spans="1:37" x14ac:dyDescent="0.25">
      <c r="A464" s="483" t="s">
        <v>873</v>
      </c>
      <c r="B464" s="484"/>
      <c r="C464" s="485"/>
      <c r="D464" s="485"/>
      <c r="E464" s="485"/>
      <c r="F464" s="485"/>
      <c r="G464" s="486"/>
      <c r="H464" s="487">
        <v>1</v>
      </c>
      <c r="I464" s="491"/>
      <c r="J464" s="492"/>
      <c r="K464" s="492"/>
      <c r="L464" s="492"/>
      <c r="M464" s="492"/>
      <c r="N464" s="493"/>
      <c r="O464" s="494"/>
      <c r="P464" s="492"/>
      <c r="Q464" s="492"/>
      <c r="R464" s="492"/>
      <c r="S464" s="492"/>
      <c r="T464" s="492"/>
      <c r="U464" s="493"/>
      <c r="V464" s="493"/>
      <c r="W464" s="491"/>
      <c r="X464" s="492"/>
      <c r="Y464" s="492"/>
      <c r="Z464" s="492"/>
      <c r="AA464" s="492"/>
      <c r="AB464" s="493"/>
      <c r="AC464" s="494"/>
      <c r="AD464" s="486" t="s">
        <v>1256</v>
      </c>
      <c r="AE464" s="458">
        <v>25</v>
      </c>
      <c r="AI464" s="488"/>
      <c r="AJ464" s="490">
        <v>530</v>
      </c>
      <c r="AK464" s="490" t="s">
        <v>1255</v>
      </c>
    </row>
    <row r="465" spans="1:37" x14ac:dyDescent="0.25">
      <c r="A465" s="483" t="s">
        <v>875</v>
      </c>
      <c r="B465" s="484"/>
      <c r="C465" s="485"/>
      <c r="D465" s="485"/>
      <c r="E465" s="485"/>
      <c r="F465" s="485"/>
      <c r="G465" s="486"/>
      <c r="H465" s="487">
        <v>1</v>
      </c>
      <c r="I465" s="491"/>
      <c r="J465" s="492"/>
      <c r="K465" s="492"/>
      <c r="L465" s="492"/>
      <c r="M465" s="492"/>
      <c r="N465" s="493"/>
      <c r="O465" s="494"/>
      <c r="P465" s="492"/>
      <c r="Q465" s="492"/>
      <c r="R465" s="492"/>
      <c r="S465" s="492"/>
      <c r="T465" s="492"/>
      <c r="U465" s="493"/>
      <c r="V465" s="493"/>
      <c r="W465" s="491"/>
      <c r="X465" s="492"/>
      <c r="Y465" s="492"/>
      <c r="Z465" s="492"/>
      <c r="AA465" s="492"/>
      <c r="AB465" s="493"/>
      <c r="AC465" s="494"/>
      <c r="AD465" s="486" t="s">
        <v>1256</v>
      </c>
      <c r="AE465" s="458">
        <v>25</v>
      </c>
      <c r="AI465" s="488"/>
      <c r="AJ465" s="490">
        <v>522</v>
      </c>
      <c r="AK465" s="490" t="s">
        <v>1255</v>
      </c>
    </row>
    <row r="466" spans="1:37" x14ac:dyDescent="0.25">
      <c r="A466" s="483" t="s">
        <v>878</v>
      </c>
      <c r="B466" s="484"/>
      <c r="C466" s="485"/>
      <c r="D466" s="485"/>
      <c r="E466" s="485"/>
      <c r="F466" s="485"/>
      <c r="G466" s="486"/>
      <c r="H466" s="487">
        <v>1</v>
      </c>
      <c r="I466" s="491"/>
      <c r="J466" s="492"/>
      <c r="K466" s="492"/>
      <c r="L466" s="492"/>
      <c r="M466" s="492"/>
      <c r="N466" s="493"/>
      <c r="O466" s="494"/>
      <c r="P466" s="492"/>
      <c r="Q466" s="492"/>
      <c r="R466" s="492"/>
      <c r="S466" s="492"/>
      <c r="T466" s="492"/>
      <c r="U466" s="493"/>
      <c r="V466" s="493"/>
      <c r="W466" s="491"/>
      <c r="X466" s="492"/>
      <c r="Y466" s="492"/>
      <c r="Z466" s="492"/>
      <c r="AA466" s="492"/>
      <c r="AB466" s="493"/>
      <c r="AC466" s="494"/>
      <c r="AD466" s="486" t="s">
        <v>1256</v>
      </c>
      <c r="AE466" s="458">
        <v>25</v>
      </c>
      <c r="AI466" s="488"/>
      <c r="AJ466" s="489"/>
      <c r="AK466" s="490" t="s">
        <v>1255</v>
      </c>
    </row>
    <row r="467" spans="1:37" x14ac:dyDescent="0.25">
      <c r="A467" s="483" t="s">
        <v>880</v>
      </c>
      <c r="B467" s="484"/>
      <c r="C467" s="485"/>
      <c r="D467" s="485"/>
      <c r="E467" s="485"/>
      <c r="F467" s="485"/>
      <c r="G467" s="486"/>
      <c r="H467" s="487">
        <v>1</v>
      </c>
      <c r="I467" s="491"/>
      <c r="J467" s="492"/>
      <c r="K467" s="492"/>
      <c r="L467" s="492"/>
      <c r="M467" s="492"/>
      <c r="N467" s="493"/>
      <c r="O467" s="494"/>
      <c r="P467" s="492"/>
      <c r="Q467" s="492"/>
      <c r="R467" s="492"/>
      <c r="S467" s="492"/>
      <c r="T467" s="492"/>
      <c r="U467" s="493"/>
      <c r="V467" s="493"/>
      <c r="W467" s="491"/>
      <c r="X467" s="492"/>
      <c r="Y467" s="492"/>
      <c r="Z467" s="492"/>
      <c r="AA467" s="492"/>
      <c r="AB467" s="493"/>
      <c r="AC467" s="494"/>
      <c r="AD467" s="486" t="s">
        <v>1256</v>
      </c>
      <c r="AE467" s="458">
        <v>25</v>
      </c>
      <c r="AI467" s="488"/>
      <c r="AJ467" s="490">
        <v>524</v>
      </c>
      <c r="AK467" s="490" t="s">
        <v>1255</v>
      </c>
    </row>
    <row r="468" spans="1:37" x14ac:dyDescent="0.25">
      <c r="A468" s="483" t="s">
        <v>882</v>
      </c>
      <c r="B468" s="484"/>
      <c r="C468" s="485"/>
      <c r="D468" s="485"/>
      <c r="E468" s="485"/>
      <c r="F468" s="485"/>
      <c r="G468" s="486"/>
      <c r="H468" s="487">
        <v>1</v>
      </c>
      <c r="I468" s="491"/>
      <c r="J468" s="492"/>
      <c r="K468" s="492"/>
      <c r="L468" s="492"/>
      <c r="M468" s="492"/>
      <c r="N468" s="493"/>
      <c r="O468" s="494"/>
      <c r="P468" s="492"/>
      <c r="Q468" s="492"/>
      <c r="R468" s="492"/>
      <c r="S468" s="492"/>
      <c r="T468" s="492"/>
      <c r="U468" s="493"/>
      <c r="V468" s="493"/>
      <c r="W468" s="491"/>
      <c r="X468" s="492"/>
      <c r="Y468" s="492"/>
      <c r="Z468" s="492"/>
      <c r="AA468" s="492"/>
      <c r="AB468" s="493"/>
      <c r="AC468" s="494"/>
      <c r="AD468" s="486" t="s">
        <v>1256</v>
      </c>
      <c r="AE468" s="458">
        <v>25</v>
      </c>
      <c r="AI468" s="488"/>
      <c r="AJ468" s="490">
        <v>523</v>
      </c>
      <c r="AK468" s="490" t="s">
        <v>1255</v>
      </c>
    </row>
    <row r="469" spans="1:37" x14ac:dyDescent="0.25">
      <c r="A469" s="483" t="s">
        <v>884</v>
      </c>
      <c r="B469" s="484"/>
      <c r="C469" s="485"/>
      <c r="D469" s="485"/>
      <c r="E469" s="485"/>
      <c r="F469" s="485"/>
      <c r="G469" s="486"/>
      <c r="H469" s="487">
        <v>1</v>
      </c>
      <c r="I469" s="491"/>
      <c r="J469" s="492"/>
      <c r="K469" s="492"/>
      <c r="L469" s="492"/>
      <c r="M469" s="492"/>
      <c r="N469" s="493"/>
      <c r="O469" s="494"/>
      <c r="P469" s="492"/>
      <c r="Q469" s="492"/>
      <c r="R469" s="492"/>
      <c r="S469" s="492"/>
      <c r="T469" s="492"/>
      <c r="U469" s="493"/>
      <c r="V469" s="493"/>
      <c r="W469" s="491"/>
      <c r="X469" s="492"/>
      <c r="Y469" s="492"/>
      <c r="Z469" s="492"/>
      <c r="AA469" s="492"/>
      <c r="AB469" s="493"/>
      <c r="AC469" s="494"/>
      <c r="AD469" s="486" t="s">
        <v>1256</v>
      </c>
      <c r="AE469" s="458">
        <v>25</v>
      </c>
      <c r="AI469" s="488"/>
      <c r="AJ469" s="489"/>
      <c r="AK469" s="490" t="s">
        <v>1255</v>
      </c>
    </row>
    <row r="470" spans="1:37" x14ac:dyDescent="0.25">
      <c r="A470" s="483" t="s">
        <v>886</v>
      </c>
      <c r="B470" s="484"/>
      <c r="C470" s="485"/>
      <c r="D470" s="485"/>
      <c r="E470" s="485"/>
      <c r="F470" s="485"/>
      <c r="G470" s="486"/>
      <c r="H470" s="487">
        <v>1</v>
      </c>
      <c r="I470" s="491"/>
      <c r="J470" s="492"/>
      <c r="K470" s="492"/>
      <c r="L470" s="492"/>
      <c r="M470" s="492"/>
      <c r="N470" s="493"/>
      <c r="O470" s="494"/>
      <c r="P470" s="492"/>
      <c r="Q470" s="492"/>
      <c r="R470" s="492"/>
      <c r="S470" s="492"/>
      <c r="T470" s="492"/>
      <c r="U470" s="493"/>
      <c r="V470" s="493"/>
      <c r="W470" s="491"/>
      <c r="X470" s="492"/>
      <c r="Y470" s="492"/>
      <c r="Z470" s="492"/>
      <c r="AA470" s="492"/>
      <c r="AB470" s="493"/>
      <c r="AC470" s="494"/>
      <c r="AD470" s="486" t="s">
        <v>1256</v>
      </c>
      <c r="AE470" s="458">
        <v>25</v>
      </c>
      <c r="AI470" s="488"/>
      <c r="AJ470" s="490">
        <v>526</v>
      </c>
      <c r="AK470" s="490" t="s">
        <v>1255</v>
      </c>
    </row>
    <row r="471" spans="1:37" x14ac:dyDescent="0.25">
      <c r="A471" s="483" t="s">
        <v>1258</v>
      </c>
      <c r="B471" s="484"/>
      <c r="C471" s="485"/>
      <c r="D471" s="485"/>
      <c r="E471" s="485"/>
      <c r="F471" s="485"/>
      <c r="G471" s="486"/>
      <c r="H471" s="487">
        <v>1</v>
      </c>
      <c r="I471" s="491"/>
      <c r="J471" s="492"/>
      <c r="K471" s="492"/>
      <c r="L471" s="492"/>
      <c r="M471" s="492"/>
      <c r="N471" s="493"/>
      <c r="O471" s="494"/>
      <c r="P471" s="492"/>
      <c r="Q471" s="492"/>
      <c r="R471" s="492"/>
      <c r="S471" s="492"/>
      <c r="T471" s="492"/>
      <c r="U471" s="493"/>
      <c r="V471" s="493"/>
      <c r="W471" s="491"/>
      <c r="X471" s="492"/>
      <c r="Y471" s="492"/>
      <c r="Z471" s="492"/>
      <c r="AA471" s="492"/>
      <c r="AB471" s="493"/>
      <c r="AC471" s="494"/>
      <c r="AD471" s="486" t="s">
        <v>867</v>
      </c>
      <c r="AE471" s="458">
        <v>25</v>
      </c>
      <c r="AI471" s="488"/>
      <c r="AJ471" s="489"/>
      <c r="AK471" s="490"/>
    </row>
    <row r="472" spans="1:37" x14ac:dyDescent="0.25">
      <c r="A472" s="483" t="s">
        <v>1259</v>
      </c>
      <c r="B472" s="484"/>
      <c r="C472" s="485"/>
      <c r="D472" s="485"/>
      <c r="E472" s="485"/>
      <c r="F472" s="485"/>
      <c r="G472" s="486"/>
      <c r="H472" s="487">
        <v>1</v>
      </c>
      <c r="I472" s="491"/>
      <c r="J472" s="492"/>
      <c r="K472" s="492"/>
      <c r="L472" s="492"/>
      <c r="M472" s="492"/>
      <c r="N472" s="493"/>
      <c r="O472" s="494"/>
      <c r="P472" s="492"/>
      <c r="Q472" s="492"/>
      <c r="R472" s="492"/>
      <c r="S472" s="492"/>
      <c r="T472" s="492"/>
      <c r="U472" s="493"/>
      <c r="V472" s="493"/>
      <c r="W472" s="491"/>
      <c r="X472" s="492"/>
      <c r="Y472" s="492"/>
      <c r="Z472" s="492"/>
      <c r="AA472" s="492"/>
      <c r="AB472" s="493"/>
      <c r="AC472" s="494"/>
      <c r="AD472" s="486" t="s">
        <v>867</v>
      </c>
      <c r="AE472" s="458">
        <v>25</v>
      </c>
      <c r="AI472" s="488"/>
      <c r="AJ472" s="489"/>
      <c r="AK472" s="490"/>
    </row>
    <row r="473" spans="1:37" x14ac:dyDescent="0.25">
      <c r="A473" s="483"/>
      <c r="B473" s="484"/>
      <c r="C473" s="485"/>
      <c r="D473" s="485"/>
      <c r="E473" s="485"/>
      <c r="F473" s="485"/>
      <c r="G473" s="486"/>
      <c r="H473" s="487"/>
      <c r="I473" s="484"/>
      <c r="J473" s="485"/>
      <c r="K473" s="485"/>
      <c r="L473" s="485"/>
      <c r="M473" s="485"/>
      <c r="N473" s="486"/>
      <c r="O473" s="487"/>
      <c r="P473" s="485"/>
      <c r="Q473" s="485"/>
      <c r="R473" s="485"/>
      <c r="S473" s="485"/>
      <c r="T473" s="485"/>
      <c r="U473" s="486"/>
      <c r="V473" s="486"/>
      <c r="W473" s="484"/>
      <c r="X473" s="485"/>
      <c r="Y473" s="485"/>
      <c r="Z473" s="485"/>
      <c r="AA473" s="485"/>
      <c r="AB473" s="486"/>
      <c r="AC473" s="487"/>
      <c r="AD473" s="486"/>
      <c r="AE473" s="458"/>
      <c r="AI473" s="488"/>
      <c r="AJ473" s="489"/>
      <c r="AK473" s="490"/>
    </row>
    <row r="474" spans="1:37" x14ac:dyDescent="0.25">
      <c r="A474" s="483" t="s">
        <v>1099</v>
      </c>
      <c r="B474" s="484"/>
      <c r="C474" s="485"/>
      <c r="D474" s="485"/>
      <c r="E474" s="485"/>
      <c r="F474" s="485"/>
      <c r="G474" s="486"/>
      <c r="H474" s="487"/>
      <c r="I474" s="491"/>
      <c r="J474" s="492"/>
      <c r="K474" s="492"/>
      <c r="L474" s="492"/>
      <c r="M474" s="492"/>
      <c r="N474" s="493"/>
      <c r="O474" s="494"/>
      <c r="P474" s="492"/>
      <c r="Q474" s="492"/>
      <c r="R474" s="492"/>
      <c r="S474" s="492"/>
      <c r="T474" s="492"/>
      <c r="U474" s="493"/>
      <c r="V474" s="493"/>
      <c r="W474" s="491"/>
      <c r="X474" s="492"/>
      <c r="Y474" s="492"/>
      <c r="Z474" s="492"/>
      <c r="AA474" s="492"/>
      <c r="AB474" s="493"/>
      <c r="AC474" s="494"/>
      <c r="AD474" s="486" t="s">
        <v>863</v>
      </c>
      <c r="AE474" s="458"/>
      <c r="AI474" s="488"/>
      <c r="AJ474" s="490">
        <v>278</v>
      </c>
      <c r="AK474" s="490" t="s">
        <v>1260</v>
      </c>
    </row>
    <row r="475" spans="1:37" x14ac:dyDescent="0.25">
      <c r="A475" s="483" t="s">
        <v>1101</v>
      </c>
      <c r="B475" s="484"/>
      <c r="C475" s="485"/>
      <c r="D475" s="485"/>
      <c r="E475" s="485"/>
      <c r="F475" s="485"/>
      <c r="G475" s="486"/>
      <c r="H475" s="487"/>
      <c r="I475" s="491"/>
      <c r="J475" s="492"/>
      <c r="K475" s="492"/>
      <c r="L475" s="492"/>
      <c r="M475" s="492"/>
      <c r="N475" s="493"/>
      <c r="O475" s="494"/>
      <c r="P475" s="492"/>
      <c r="Q475" s="492"/>
      <c r="R475" s="492"/>
      <c r="S475" s="492"/>
      <c r="T475" s="492"/>
      <c r="U475" s="493"/>
      <c r="V475" s="493"/>
      <c r="W475" s="491"/>
      <c r="X475" s="492"/>
      <c r="Y475" s="492"/>
      <c r="Z475" s="492"/>
      <c r="AA475" s="492"/>
      <c r="AB475" s="493"/>
      <c r="AC475" s="494"/>
      <c r="AD475" s="486" t="s">
        <v>863</v>
      </c>
      <c r="AE475" s="458"/>
      <c r="AI475" s="488"/>
      <c r="AJ475" s="490">
        <v>207</v>
      </c>
      <c r="AK475" s="490" t="s">
        <v>1260</v>
      </c>
    </row>
    <row r="476" spans="1:37" x14ac:dyDescent="0.25">
      <c r="A476" s="483" t="s">
        <v>1103</v>
      </c>
      <c r="B476" s="484"/>
      <c r="C476" s="485"/>
      <c r="D476" s="485"/>
      <c r="E476" s="485"/>
      <c r="F476" s="485"/>
      <c r="G476" s="486"/>
      <c r="H476" s="487"/>
      <c r="I476" s="491"/>
      <c r="J476" s="492"/>
      <c r="K476" s="492"/>
      <c r="L476" s="492"/>
      <c r="M476" s="492"/>
      <c r="N476" s="493"/>
      <c r="O476" s="494"/>
      <c r="P476" s="492"/>
      <c r="Q476" s="492"/>
      <c r="R476" s="492"/>
      <c r="S476" s="492"/>
      <c r="T476" s="492"/>
      <c r="U476" s="493"/>
      <c r="V476" s="493"/>
      <c r="W476" s="491"/>
      <c r="X476" s="492"/>
      <c r="Y476" s="492"/>
      <c r="Z476" s="492"/>
      <c r="AA476" s="492"/>
      <c r="AB476" s="493"/>
      <c r="AC476" s="494"/>
      <c r="AD476" s="486" t="s">
        <v>863</v>
      </c>
      <c r="AE476" s="458"/>
      <c r="AI476" s="488"/>
      <c r="AJ476" s="490">
        <v>208</v>
      </c>
      <c r="AK476" s="490" t="s">
        <v>1260</v>
      </c>
    </row>
    <row r="477" spans="1:37" x14ac:dyDescent="0.25">
      <c r="A477" s="483" t="s">
        <v>1104</v>
      </c>
      <c r="B477" s="484"/>
      <c r="C477" s="485"/>
      <c r="D477" s="485"/>
      <c r="E477" s="485"/>
      <c r="F477" s="485"/>
      <c r="G477" s="486"/>
      <c r="H477" s="487"/>
      <c r="I477" s="491"/>
      <c r="J477" s="492"/>
      <c r="K477" s="492"/>
      <c r="L477" s="492"/>
      <c r="M477" s="492"/>
      <c r="N477" s="493"/>
      <c r="O477" s="494"/>
      <c r="P477" s="492"/>
      <c r="Q477" s="492"/>
      <c r="R477" s="492"/>
      <c r="S477" s="492"/>
      <c r="T477" s="492"/>
      <c r="U477" s="493"/>
      <c r="V477" s="493"/>
      <c r="W477" s="491"/>
      <c r="X477" s="492"/>
      <c r="Y477" s="492"/>
      <c r="Z477" s="492"/>
      <c r="AA477" s="492"/>
      <c r="AB477" s="493"/>
      <c r="AC477" s="494"/>
      <c r="AD477" s="486" t="s">
        <v>863</v>
      </c>
      <c r="AE477" s="458"/>
      <c r="AI477" s="488"/>
      <c r="AJ477" s="490">
        <v>209</v>
      </c>
      <c r="AK477" s="490" t="s">
        <v>1254</v>
      </c>
    </row>
    <row r="478" spans="1:37" x14ac:dyDescent="0.25">
      <c r="A478" s="483" t="s">
        <v>1106</v>
      </c>
      <c r="B478" s="484"/>
      <c r="C478" s="485"/>
      <c r="D478" s="485"/>
      <c r="E478" s="485"/>
      <c r="F478" s="485"/>
      <c r="G478" s="486"/>
      <c r="H478" s="487"/>
      <c r="I478" s="491"/>
      <c r="J478" s="492"/>
      <c r="K478" s="492"/>
      <c r="L478" s="492"/>
      <c r="M478" s="492"/>
      <c r="N478" s="493"/>
      <c r="O478" s="494"/>
      <c r="P478" s="492"/>
      <c r="Q478" s="492"/>
      <c r="R478" s="492"/>
      <c r="S478" s="492"/>
      <c r="T478" s="492"/>
      <c r="U478" s="493"/>
      <c r="V478" s="493"/>
      <c r="W478" s="491"/>
      <c r="X478" s="492"/>
      <c r="Y478" s="492"/>
      <c r="Z478" s="492"/>
      <c r="AA478" s="492"/>
      <c r="AB478" s="493"/>
      <c r="AC478" s="494"/>
      <c r="AD478" s="486" t="s">
        <v>863</v>
      </c>
      <c r="AE478" s="458"/>
      <c r="AI478" s="488"/>
      <c r="AJ478" s="489"/>
      <c r="AK478" s="490"/>
    </row>
    <row r="479" spans="1:37" x14ac:dyDescent="0.25">
      <c r="A479" s="483" t="s">
        <v>1108</v>
      </c>
      <c r="B479" s="484"/>
      <c r="C479" s="485"/>
      <c r="D479" s="485"/>
      <c r="E479" s="485"/>
      <c r="F479" s="485"/>
      <c r="G479" s="486"/>
      <c r="H479" s="487"/>
      <c r="I479" s="491"/>
      <c r="J479" s="492"/>
      <c r="K479" s="492"/>
      <c r="L479" s="492"/>
      <c r="M479" s="492"/>
      <c r="N479" s="493"/>
      <c r="O479" s="494"/>
      <c r="P479" s="492"/>
      <c r="Q479" s="492"/>
      <c r="R479" s="492"/>
      <c r="S479" s="492"/>
      <c r="T479" s="492"/>
      <c r="U479" s="493"/>
      <c r="V479" s="493"/>
      <c r="W479" s="491"/>
      <c r="X479" s="492"/>
      <c r="Y479" s="492"/>
      <c r="Z479" s="492"/>
      <c r="AA479" s="492"/>
      <c r="AB479" s="493"/>
      <c r="AC479" s="494"/>
      <c r="AD479" s="486" t="s">
        <v>863</v>
      </c>
      <c r="AE479" s="458"/>
      <c r="AI479" s="488"/>
      <c r="AJ479" s="489"/>
      <c r="AK479" s="490"/>
    </row>
    <row r="480" spans="1:37" x14ac:dyDescent="0.25">
      <c r="A480" s="483"/>
      <c r="B480" s="484"/>
      <c r="C480" s="485"/>
      <c r="D480" s="485"/>
      <c r="E480" s="485"/>
      <c r="F480" s="485"/>
      <c r="G480" s="486"/>
      <c r="H480" s="487"/>
      <c r="I480" s="484"/>
      <c r="J480" s="485"/>
      <c r="K480" s="485"/>
      <c r="L480" s="485"/>
      <c r="M480" s="485"/>
      <c r="N480" s="486"/>
      <c r="O480" s="487"/>
      <c r="P480" s="485"/>
      <c r="Q480" s="485"/>
      <c r="R480" s="485"/>
      <c r="S480" s="485"/>
      <c r="T480" s="485"/>
      <c r="U480" s="486"/>
      <c r="V480" s="486"/>
      <c r="W480" s="484"/>
      <c r="X480" s="485"/>
      <c r="Y480" s="485"/>
      <c r="Z480" s="485"/>
      <c r="AA480" s="485"/>
      <c r="AB480" s="486"/>
      <c r="AC480" s="487"/>
      <c r="AD480" s="486"/>
      <c r="AE480" s="458"/>
      <c r="AI480" s="488"/>
      <c r="AJ480" s="489"/>
      <c r="AK480" s="490"/>
    </row>
    <row r="481" spans="1:37" x14ac:dyDescent="0.25">
      <c r="A481" s="513" t="s">
        <v>1261</v>
      </c>
      <c r="B481" s="484"/>
      <c r="C481" s="485"/>
      <c r="D481" s="485"/>
      <c r="E481" s="485"/>
      <c r="F481" s="485"/>
      <c r="G481" s="486"/>
      <c r="H481" s="487"/>
      <c r="I481" s="491"/>
      <c r="J481" s="492"/>
      <c r="K481" s="492"/>
      <c r="L481" s="492"/>
      <c r="M481" s="492"/>
      <c r="N481" s="493"/>
      <c r="O481" s="494"/>
      <c r="P481" s="492"/>
      <c r="Q481" s="492"/>
      <c r="R481" s="492"/>
      <c r="S481" s="492"/>
      <c r="T481" s="492"/>
      <c r="U481" s="493"/>
      <c r="V481" s="493"/>
      <c r="W481" s="491"/>
      <c r="X481" s="492"/>
      <c r="Y481" s="492"/>
      <c r="Z481" s="492"/>
      <c r="AA481" s="492"/>
      <c r="AB481" s="493"/>
      <c r="AC481" s="494"/>
      <c r="AD481" s="486" t="s">
        <v>1262</v>
      </c>
      <c r="AE481" s="458"/>
      <c r="AI481" s="514"/>
      <c r="AJ481" s="489"/>
      <c r="AK481" s="490"/>
    </row>
    <row r="482" spans="1:37" x14ac:dyDescent="0.25">
      <c r="A482" s="483" t="s">
        <v>1113</v>
      </c>
      <c r="B482" s="484" t="s">
        <v>56</v>
      </c>
      <c r="C482" s="485"/>
      <c r="D482" s="485"/>
      <c r="E482" s="485"/>
      <c r="F482" s="485"/>
      <c r="G482" s="486"/>
      <c r="H482" s="487"/>
      <c r="I482" s="491"/>
      <c r="J482" s="492"/>
      <c r="K482" s="492"/>
      <c r="L482" s="492"/>
      <c r="M482" s="492"/>
      <c r="N482" s="493"/>
      <c r="O482" s="494"/>
      <c r="P482" s="492"/>
      <c r="Q482" s="492"/>
      <c r="R482" s="492"/>
      <c r="S482" s="492"/>
      <c r="T482" s="492"/>
      <c r="U482" s="493"/>
      <c r="V482" s="493"/>
      <c r="W482" s="491"/>
      <c r="X482" s="492"/>
      <c r="Y482" s="492"/>
      <c r="Z482" s="492"/>
      <c r="AA482" s="492"/>
      <c r="AB482" s="493"/>
      <c r="AC482" s="494"/>
      <c r="AD482" s="486" t="s">
        <v>1262</v>
      </c>
      <c r="AE482" s="458">
        <v>0</v>
      </c>
      <c r="AI482" s="488"/>
      <c r="AJ482" s="490">
        <v>137</v>
      </c>
      <c r="AK482" s="490" t="s">
        <v>1253</v>
      </c>
    </row>
    <row r="483" spans="1:37" x14ac:dyDescent="0.25">
      <c r="A483" s="483" t="s">
        <v>1114</v>
      </c>
      <c r="B483" s="484" t="s">
        <v>66</v>
      </c>
      <c r="C483" s="485"/>
      <c r="D483" s="485"/>
      <c r="E483" s="485"/>
      <c r="F483" s="485"/>
      <c r="G483" s="486"/>
      <c r="H483" s="487"/>
      <c r="I483" s="491"/>
      <c r="J483" s="492"/>
      <c r="K483" s="492"/>
      <c r="L483" s="492"/>
      <c r="M483" s="492"/>
      <c r="N483" s="493"/>
      <c r="O483" s="494"/>
      <c r="P483" s="492"/>
      <c r="Q483" s="492"/>
      <c r="R483" s="492"/>
      <c r="S483" s="492"/>
      <c r="T483" s="492"/>
      <c r="U483" s="493"/>
      <c r="V483" s="493"/>
      <c r="W483" s="491"/>
      <c r="X483" s="492"/>
      <c r="Y483" s="492"/>
      <c r="Z483" s="492"/>
      <c r="AA483" s="492"/>
      <c r="AB483" s="493"/>
      <c r="AC483" s="494"/>
      <c r="AD483" s="486" t="s">
        <v>1262</v>
      </c>
      <c r="AE483" s="458">
        <v>25</v>
      </c>
      <c r="AI483" s="488"/>
      <c r="AJ483" s="490">
        <v>138</v>
      </c>
      <c r="AK483" s="490" t="s">
        <v>1253</v>
      </c>
    </row>
    <row r="484" spans="1:37" x14ac:dyDescent="0.25">
      <c r="A484" s="483" t="s">
        <v>1115</v>
      </c>
      <c r="B484" s="484"/>
      <c r="C484" s="485"/>
      <c r="D484" s="485"/>
      <c r="E484" s="485"/>
      <c r="F484" s="485"/>
      <c r="G484" s="486"/>
      <c r="H484" s="487"/>
      <c r="I484" s="491"/>
      <c r="J484" s="492"/>
      <c r="K484" s="492"/>
      <c r="L484" s="492"/>
      <c r="M484" s="492"/>
      <c r="N484" s="493"/>
      <c r="O484" s="494"/>
      <c r="P484" s="492"/>
      <c r="Q484" s="492"/>
      <c r="R484" s="492"/>
      <c r="S484" s="492"/>
      <c r="T484" s="492"/>
      <c r="U484" s="493"/>
      <c r="V484" s="493"/>
      <c r="W484" s="491"/>
      <c r="X484" s="492"/>
      <c r="Y484" s="492"/>
      <c r="Z484" s="492"/>
      <c r="AA484" s="492"/>
      <c r="AB484" s="493"/>
      <c r="AC484" s="494"/>
      <c r="AD484" s="486" t="s">
        <v>1262</v>
      </c>
      <c r="AE484" s="458"/>
      <c r="AI484" s="488"/>
      <c r="AJ484" s="490">
        <v>139</v>
      </c>
      <c r="AK484" s="490" t="s">
        <v>1253</v>
      </c>
    </row>
    <row r="485" spans="1:37" x14ac:dyDescent="0.25">
      <c r="A485" s="483" t="s">
        <v>1117</v>
      </c>
      <c r="B485" s="484" t="s">
        <v>56</v>
      </c>
      <c r="C485" s="485"/>
      <c r="D485" s="485"/>
      <c r="E485" s="485"/>
      <c r="F485" s="485"/>
      <c r="G485" s="486"/>
      <c r="H485" s="487"/>
      <c r="I485" s="491"/>
      <c r="J485" s="492"/>
      <c r="K485" s="492"/>
      <c r="L485" s="492"/>
      <c r="M485" s="492"/>
      <c r="N485" s="493"/>
      <c r="O485" s="494"/>
      <c r="P485" s="492"/>
      <c r="Q485" s="492"/>
      <c r="R485" s="492"/>
      <c r="S485" s="492"/>
      <c r="T485" s="492"/>
      <c r="U485" s="493"/>
      <c r="V485" s="493"/>
      <c r="W485" s="491"/>
      <c r="X485" s="492"/>
      <c r="Y485" s="492"/>
      <c r="Z485" s="492"/>
      <c r="AA485" s="492"/>
      <c r="AB485" s="493"/>
      <c r="AC485" s="494"/>
      <c r="AD485" s="486" t="s">
        <v>1262</v>
      </c>
      <c r="AE485" s="458">
        <v>35</v>
      </c>
      <c r="AI485" s="488"/>
      <c r="AJ485" s="490">
        <v>140</v>
      </c>
      <c r="AK485" s="490" t="s">
        <v>1253</v>
      </c>
    </row>
    <row r="486" spans="1:37" x14ac:dyDescent="0.25">
      <c r="A486" s="483" t="s">
        <v>1118</v>
      </c>
      <c r="B486" s="484" t="s">
        <v>56</v>
      </c>
      <c r="C486" s="485"/>
      <c r="D486" s="485"/>
      <c r="E486" s="485"/>
      <c r="F486" s="485"/>
      <c r="G486" s="486"/>
      <c r="H486" s="487"/>
      <c r="I486" s="491"/>
      <c r="J486" s="492"/>
      <c r="K486" s="492"/>
      <c r="L486" s="492"/>
      <c r="M486" s="492"/>
      <c r="N486" s="493"/>
      <c r="O486" s="494"/>
      <c r="P486" s="492"/>
      <c r="Q486" s="492"/>
      <c r="R486" s="492"/>
      <c r="S486" s="492"/>
      <c r="T486" s="492"/>
      <c r="U486" s="493"/>
      <c r="V486" s="493"/>
      <c r="W486" s="491"/>
      <c r="X486" s="492"/>
      <c r="Y486" s="492"/>
      <c r="Z486" s="492"/>
      <c r="AA486" s="492"/>
      <c r="AB486" s="493"/>
      <c r="AC486" s="494"/>
      <c r="AD486" s="486" t="s">
        <v>1262</v>
      </c>
      <c r="AE486" s="458">
        <v>40</v>
      </c>
      <c r="AI486" s="488"/>
      <c r="AJ486" s="490">
        <v>249</v>
      </c>
      <c r="AK486" s="490" t="s">
        <v>1253</v>
      </c>
    </row>
    <row r="487" spans="1:37" x14ac:dyDescent="0.25">
      <c r="A487" s="483" t="s">
        <v>1119</v>
      </c>
      <c r="B487" s="484" t="s">
        <v>66</v>
      </c>
      <c r="C487" s="485"/>
      <c r="D487" s="485"/>
      <c r="E487" s="485"/>
      <c r="F487" s="485"/>
      <c r="G487" s="486"/>
      <c r="H487" s="487"/>
      <c r="I487" s="491"/>
      <c r="J487" s="492"/>
      <c r="K487" s="492"/>
      <c r="L487" s="492"/>
      <c r="M487" s="492"/>
      <c r="N487" s="493"/>
      <c r="O487" s="494"/>
      <c r="P487" s="492"/>
      <c r="Q487" s="492"/>
      <c r="R487" s="492"/>
      <c r="S487" s="492"/>
      <c r="T487" s="492"/>
      <c r="U487" s="493"/>
      <c r="V487" s="493"/>
      <c r="W487" s="491"/>
      <c r="X487" s="492"/>
      <c r="Y487" s="492"/>
      <c r="Z487" s="492"/>
      <c r="AA487" s="492"/>
      <c r="AB487" s="493"/>
      <c r="AC487" s="494"/>
      <c r="AD487" s="486" t="s">
        <v>1262</v>
      </c>
      <c r="AE487" s="458">
        <v>35</v>
      </c>
      <c r="AI487" s="488"/>
      <c r="AJ487" s="490">
        <v>141</v>
      </c>
      <c r="AK487" s="490" t="s">
        <v>1263</v>
      </c>
    </row>
    <row r="488" spans="1:37" x14ac:dyDescent="0.25">
      <c r="A488" s="677" t="s">
        <v>1365</v>
      </c>
      <c r="B488" s="484" t="s">
        <v>66</v>
      </c>
      <c r="C488" s="485"/>
      <c r="D488" s="485"/>
      <c r="E488" s="485"/>
      <c r="F488" s="485"/>
      <c r="G488" s="486"/>
      <c r="H488" s="487"/>
      <c r="I488" s="491"/>
      <c r="J488" s="492"/>
      <c r="K488" s="492"/>
      <c r="L488" s="492"/>
      <c r="M488" s="492"/>
      <c r="N488" s="493"/>
      <c r="O488" s="494"/>
      <c r="P488" s="492"/>
      <c r="Q488" s="492"/>
      <c r="R488" s="492"/>
      <c r="S488" s="492"/>
      <c r="T488" s="492"/>
      <c r="U488" s="493"/>
      <c r="V488" s="493"/>
      <c r="W488" s="491"/>
      <c r="X488" s="492"/>
      <c r="Y488" s="492"/>
      <c r="Z488" s="492"/>
      <c r="AA488" s="492"/>
      <c r="AB488" s="493"/>
      <c r="AC488" s="494"/>
      <c r="AD488" s="486" t="s">
        <v>1262</v>
      </c>
      <c r="AE488" s="458"/>
      <c r="AI488" s="488"/>
      <c r="AJ488" s="490">
        <v>250</v>
      </c>
      <c r="AK488" s="490" t="s">
        <v>1253</v>
      </c>
    </row>
    <row r="489" spans="1:37" x14ac:dyDescent="0.25">
      <c r="A489" s="483" t="s">
        <v>1120</v>
      </c>
      <c r="B489" s="484" t="s">
        <v>56</v>
      </c>
      <c r="C489" s="485"/>
      <c r="D489" s="485"/>
      <c r="E489" s="485"/>
      <c r="F489" s="485"/>
      <c r="G489" s="486"/>
      <c r="H489" s="487"/>
      <c r="I489" s="491"/>
      <c r="J489" s="492"/>
      <c r="K489" s="492"/>
      <c r="L489" s="492"/>
      <c r="M489" s="492"/>
      <c r="N489" s="493"/>
      <c r="O489" s="494"/>
      <c r="P489" s="492"/>
      <c r="Q489" s="492"/>
      <c r="R489" s="492"/>
      <c r="S489" s="492"/>
      <c r="T489" s="492"/>
      <c r="U489" s="493"/>
      <c r="V489" s="493"/>
      <c r="W489" s="491"/>
      <c r="X489" s="492"/>
      <c r="Y489" s="492"/>
      <c r="Z489" s="492"/>
      <c r="AA489" s="492"/>
      <c r="AB489" s="493"/>
      <c r="AC489" s="494"/>
      <c r="AD489" s="486" t="s">
        <v>1262</v>
      </c>
      <c r="AE489" s="458"/>
      <c r="AI489" s="488"/>
      <c r="AJ489" s="490">
        <v>142</v>
      </c>
      <c r="AK489" s="490" t="s">
        <v>1253</v>
      </c>
    </row>
    <row r="490" spans="1:37" x14ac:dyDescent="0.25">
      <c r="A490" s="483" t="s">
        <v>1121</v>
      </c>
      <c r="B490" s="484" t="s">
        <v>66</v>
      </c>
      <c r="C490" s="485"/>
      <c r="D490" s="485"/>
      <c r="E490" s="485"/>
      <c r="F490" s="485"/>
      <c r="G490" s="486"/>
      <c r="H490" s="487"/>
      <c r="I490" s="491"/>
      <c r="J490" s="492"/>
      <c r="K490" s="492"/>
      <c r="L490" s="492"/>
      <c r="M490" s="492"/>
      <c r="N490" s="493"/>
      <c r="O490" s="494"/>
      <c r="P490" s="492"/>
      <c r="Q490" s="492"/>
      <c r="R490" s="492"/>
      <c r="S490" s="492"/>
      <c r="T490" s="492"/>
      <c r="U490" s="493"/>
      <c r="V490" s="493"/>
      <c r="W490" s="491"/>
      <c r="X490" s="492"/>
      <c r="Y490" s="492"/>
      <c r="Z490" s="492"/>
      <c r="AA490" s="492"/>
      <c r="AB490" s="493"/>
      <c r="AC490" s="494"/>
      <c r="AD490" s="486" t="s">
        <v>1262</v>
      </c>
      <c r="AE490" s="458"/>
      <c r="AI490" s="488"/>
      <c r="AJ490" s="490">
        <v>143</v>
      </c>
      <c r="AK490" s="490" t="s">
        <v>1253</v>
      </c>
    </row>
    <row r="491" spans="1:37" x14ac:dyDescent="0.25">
      <c r="A491" s="483" t="s">
        <v>1122</v>
      </c>
      <c r="B491" s="484" t="s">
        <v>56</v>
      </c>
      <c r="C491" s="485"/>
      <c r="D491" s="485"/>
      <c r="E491" s="485"/>
      <c r="F491" s="485"/>
      <c r="G491" s="486"/>
      <c r="H491" s="487"/>
      <c r="I491" s="491"/>
      <c r="J491" s="492"/>
      <c r="K491" s="492"/>
      <c r="L491" s="492"/>
      <c r="M491" s="492"/>
      <c r="N491" s="493"/>
      <c r="O491" s="494"/>
      <c r="P491" s="492"/>
      <c r="Q491" s="492"/>
      <c r="R491" s="492"/>
      <c r="S491" s="492"/>
      <c r="T491" s="492"/>
      <c r="U491" s="493"/>
      <c r="V491" s="493"/>
      <c r="W491" s="491"/>
      <c r="X491" s="492"/>
      <c r="Y491" s="492"/>
      <c r="Z491" s="492"/>
      <c r="AA491" s="492"/>
      <c r="AB491" s="493"/>
      <c r="AC491" s="494"/>
      <c r="AD491" s="486" t="s">
        <v>1262</v>
      </c>
      <c r="AE491" s="458">
        <v>45</v>
      </c>
      <c r="AI491" s="488"/>
      <c r="AJ491" s="490">
        <v>492</v>
      </c>
      <c r="AK491" s="490" t="s">
        <v>1263</v>
      </c>
    </row>
    <row r="492" spans="1:37" x14ac:dyDescent="0.25">
      <c r="A492" s="483" t="s">
        <v>1123</v>
      </c>
      <c r="B492" s="484" t="s">
        <v>66</v>
      </c>
      <c r="C492" s="485"/>
      <c r="D492" s="485"/>
      <c r="E492" s="485"/>
      <c r="F492" s="485"/>
      <c r="G492" s="486"/>
      <c r="H492" s="487"/>
      <c r="I492" s="491"/>
      <c r="J492" s="492"/>
      <c r="K492" s="492"/>
      <c r="L492" s="492"/>
      <c r="M492" s="492"/>
      <c r="N492" s="493"/>
      <c r="O492" s="494"/>
      <c r="P492" s="492"/>
      <c r="Q492" s="492"/>
      <c r="R492" s="492"/>
      <c r="S492" s="492"/>
      <c r="T492" s="492"/>
      <c r="U492" s="493"/>
      <c r="V492" s="493"/>
      <c r="W492" s="491"/>
      <c r="X492" s="492"/>
      <c r="Y492" s="492"/>
      <c r="Z492" s="492"/>
      <c r="AA492" s="492"/>
      <c r="AB492" s="493"/>
      <c r="AC492" s="494"/>
      <c r="AD492" s="486" t="s">
        <v>1262</v>
      </c>
      <c r="AE492" s="458">
        <v>50</v>
      </c>
      <c r="AI492" s="488"/>
      <c r="AJ492" s="490">
        <v>146</v>
      </c>
      <c r="AK492" s="490" t="s">
        <v>1253</v>
      </c>
    </row>
    <row r="493" spans="1:37" x14ac:dyDescent="0.25">
      <c r="A493" s="483" t="s">
        <v>1352</v>
      </c>
      <c r="B493" s="484" t="s">
        <v>66</v>
      </c>
      <c r="C493" s="485"/>
      <c r="D493" s="485"/>
      <c r="E493" s="485"/>
      <c r="F493" s="485"/>
      <c r="G493" s="486"/>
      <c r="H493" s="487"/>
      <c r="I493" s="491"/>
      <c r="J493" s="492"/>
      <c r="K493" s="492"/>
      <c r="L493" s="492"/>
      <c r="M493" s="492"/>
      <c r="N493" s="493"/>
      <c r="O493" s="494"/>
      <c r="P493" s="492"/>
      <c r="Q493" s="492"/>
      <c r="R493" s="492"/>
      <c r="S493" s="492"/>
      <c r="T493" s="492"/>
      <c r="U493" s="493"/>
      <c r="V493" s="493"/>
      <c r="W493" s="491"/>
      <c r="X493" s="492"/>
      <c r="Y493" s="492"/>
      <c r="Z493" s="492"/>
      <c r="AA493" s="492"/>
      <c r="AB493" s="493"/>
      <c r="AC493" s="494"/>
      <c r="AD493" s="486" t="s">
        <v>1262</v>
      </c>
      <c r="AE493" s="458">
        <v>25</v>
      </c>
      <c r="AI493" s="488"/>
      <c r="AJ493" s="490">
        <v>147</v>
      </c>
      <c r="AK493" s="490" t="s">
        <v>1253</v>
      </c>
    </row>
    <row r="494" spans="1:37" x14ac:dyDescent="0.25">
      <c r="A494" s="483" t="s">
        <v>1127</v>
      </c>
      <c r="B494" s="484" t="s">
        <v>66</v>
      </c>
      <c r="C494" s="485"/>
      <c r="D494" s="485"/>
      <c r="E494" s="485"/>
      <c r="F494" s="485"/>
      <c r="G494" s="486"/>
      <c r="H494" s="487"/>
      <c r="I494" s="491"/>
      <c r="J494" s="492"/>
      <c r="K494" s="492"/>
      <c r="L494" s="492"/>
      <c r="M494" s="492"/>
      <c r="N494" s="493"/>
      <c r="O494" s="494"/>
      <c r="P494" s="492"/>
      <c r="Q494" s="492"/>
      <c r="R494" s="492"/>
      <c r="S494" s="492"/>
      <c r="T494" s="492"/>
      <c r="U494" s="493"/>
      <c r="V494" s="493"/>
      <c r="W494" s="491"/>
      <c r="X494" s="492"/>
      <c r="Y494" s="492"/>
      <c r="Z494" s="492"/>
      <c r="AA494" s="492"/>
      <c r="AB494" s="493"/>
      <c r="AC494" s="494"/>
      <c r="AD494" s="486" t="s">
        <v>1264</v>
      </c>
      <c r="AE494" s="458"/>
      <c r="AI494" s="488"/>
      <c r="AJ494" s="490">
        <v>148</v>
      </c>
      <c r="AK494" s="490" t="s">
        <v>1265</v>
      </c>
    </row>
    <row r="495" spans="1:37" x14ac:dyDescent="0.25">
      <c r="A495" s="483" t="s">
        <v>1129</v>
      </c>
      <c r="B495" s="484" t="s">
        <v>66</v>
      </c>
      <c r="C495" s="485"/>
      <c r="D495" s="485"/>
      <c r="E495" s="485"/>
      <c r="F495" s="485"/>
      <c r="G495" s="486"/>
      <c r="H495" s="487"/>
      <c r="I495" s="491"/>
      <c r="J495" s="492"/>
      <c r="K495" s="492"/>
      <c r="L495" s="492"/>
      <c r="M495" s="492"/>
      <c r="N495" s="493"/>
      <c r="O495" s="494"/>
      <c r="P495" s="492"/>
      <c r="Q495" s="492"/>
      <c r="R495" s="492"/>
      <c r="S495" s="492"/>
      <c r="T495" s="492"/>
      <c r="U495" s="493"/>
      <c r="V495" s="493"/>
      <c r="W495" s="491"/>
      <c r="X495" s="492"/>
      <c r="Y495" s="492"/>
      <c r="Z495" s="492"/>
      <c r="AA495" s="492"/>
      <c r="AB495" s="493"/>
      <c r="AC495" s="494"/>
      <c r="AD495" s="486" t="s">
        <v>1264</v>
      </c>
      <c r="AE495" s="458"/>
      <c r="AI495" s="488"/>
      <c r="AJ495" s="490">
        <v>149</v>
      </c>
      <c r="AK495" s="490" t="s">
        <v>1265</v>
      </c>
    </row>
    <row r="496" spans="1:37" x14ac:dyDescent="0.25">
      <c r="A496" s="483" t="s">
        <v>1131</v>
      </c>
      <c r="B496" s="484" t="s">
        <v>66</v>
      </c>
      <c r="C496" s="485"/>
      <c r="D496" s="485"/>
      <c r="E496" s="485"/>
      <c r="F496" s="485"/>
      <c r="G496" s="486"/>
      <c r="H496" s="487"/>
      <c r="I496" s="491"/>
      <c r="J496" s="492"/>
      <c r="K496" s="492"/>
      <c r="L496" s="492"/>
      <c r="M496" s="492"/>
      <c r="N496" s="493"/>
      <c r="O496" s="494"/>
      <c r="P496" s="492"/>
      <c r="Q496" s="492"/>
      <c r="R496" s="492"/>
      <c r="S496" s="492"/>
      <c r="T496" s="492"/>
      <c r="U496" s="493"/>
      <c r="V496" s="493"/>
      <c r="W496" s="491"/>
      <c r="X496" s="492"/>
      <c r="Y496" s="492"/>
      <c r="Z496" s="492"/>
      <c r="AA496" s="492"/>
      <c r="AB496" s="493"/>
      <c r="AC496" s="494"/>
      <c r="AD496" s="486" t="s">
        <v>1264</v>
      </c>
      <c r="AE496" s="458"/>
      <c r="AI496" s="488"/>
      <c r="AJ496" s="490">
        <v>150</v>
      </c>
      <c r="AK496" s="490" t="s">
        <v>1265</v>
      </c>
    </row>
    <row r="497" spans="1:37" x14ac:dyDescent="0.25">
      <c r="A497" s="483" t="s">
        <v>1133</v>
      </c>
      <c r="B497" s="484" t="s">
        <v>66</v>
      </c>
      <c r="C497" s="485"/>
      <c r="D497" s="485"/>
      <c r="E497" s="485"/>
      <c r="F497" s="485"/>
      <c r="G497" s="486"/>
      <c r="H497" s="487"/>
      <c r="I497" s="491"/>
      <c r="J497" s="492"/>
      <c r="K497" s="492"/>
      <c r="L497" s="492"/>
      <c r="M497" s="492"/>
      <c r="N497" s="493"/>
      <c r="O497" s="494"/>
      <c r="P497" s="492"/>
      <c r="Q497" s="492"/>
      <c r="R497" s="492"/>
      <c r="S497" s="492"/>
      <c r="T497" s="492"/>
      <c r="U497" s="493"/>
      <c r="V497" s="493"/>
      <c r="W497" s="491"/>
      <c r="X497" s="492"/>
      <c r="Y497" s="492"/>
      <c r="Z497" s="492"/>
      <c r="AA497" s="492"/>
      <c r="AB497" s="493"/>
      <c r="AC497" s="494"/>
      <c r="AD497" s="486" t="s">
        <v>1264</v>
      </c>
      <c r="AE497" s="458"/>
      <c r="AI497" s="488"/>
      <c r="AJ497" s="490">
        <v>261</v>
      </c>
      <c r="AK497" s="490" t="s">
        <v>1265</v>
      </c>
    </row>
    <row r="498" spans="1:37" x14ac:dyDescent="0.25">
      <c r="A498" s="483" t="s">
        <v>1266</v>
      </c>
      <c r="B498" s="484"/>
      <c r="C498" s="485"/>
      <c r="D498" s="485"/>
      <c r="E498" s="485"/>
      <c r="F498" s="485"/>
      <c r="G498" s="486"/>
      <c r="H498" s="487"/>
      <c r="I498" s="491"/>
      <c r="J498" s="492"/>
      <c r="K498" s="492"/>
      <c r="L498" s="492"/>
      <c r="M498" s="492"/>
      <c r="N498" s="493"/>
      <c r="O498" s="494"/>
      <c r="P498" s="492"/>
      <c r="Q498" s="492"/>
      <c r="R498" s="492"/>
      <c r="S498" s="492"/>
      <c r="T498" s="492"/>
      <c r="U498" s="493"/>
      <c r="V498" s="493"/>
      <c r="W498" s="491"/>
      <c r="X498" s="492"/>
      <c r="Y498" s="492"/>
      <c r="Z498" s="492"/>
      <c r="AA498" s="492"/>
      <c r="AB498" s="493"/>
      <c r="AC498" s="494"/>
      <c r="AD498" s="486" t="s">
        <v>1264</v>
      </c>
      <c r="AE498" s="458"/>
      <c r="AI498" s="488"/>
      <c r="AJ498" s="490">
        <v>154</v>
      </c>
      <c r="AK498" s="490" t="s">
        <v>1265</v>
      </c>
    </row>
    <row r="499" spans="1:37" x14ac:dyDescent="0.25">
      <c r="A499" s="483" t="s">
        <v>1267</v>
      </c>
      <c r="B499" s="484"/>
      <c r="C499" s="485"/>
      <c r="D499" s="485"/>
      <c r="E499" s="485"/>
      <c r="F499" s="485"/>
      <c r="G499" s="486"/>
      <c r="H499" s="487"/>
      <c r="I499" s="491"/>
      <c r="J499" s="492"/>
      <c r="K499" s="492"/>
      <c r="L499" s="492"/>
      <c r="M499" s="492"/>
      <c r="N499" s="493"/>
      <c r="O499" s="494"/>
      <c r="P499" s="492"/>
      <c r="Q499" s="492"/>
      <c r="R499" s="492"/>
      <c r="S499" s="492"/>
      <c r="T499" s="492"/>
      <c r="U499" s="493"/>
      <c r="V499" s="493"/>
      <c r="W499" s="491"/>
      <c r="X499" s="492"/>
      <c r="Y499" s="492"/>
      <c r="Z499" s="492"/>
      <c r="AA499" s="492"/>
      <c r="AB499" s="493"/>
      <c r="AC499" s="494"/>
      <c r="AD499" s="486" t="s">
        <v>1264</v>
      </c>
      <c r="AE499" s="458"/>
      <c r="AI499" s="488"/>
      <c r="AJ499" s="490">
        <v>155</v>
      </c>
      <c r="AK499" s="490" t="s">
        <v>1265</v>
      </c>
    </row>
    <row r="500" spans="1:37" x14ac:dyDescent="0.25">
      <c r="A500" s="483" t="s">
        <v>1428</v>
      </c>
      <c r="B500" s="484" t="s">
        <v>66</v>
      </c>
      <c r="C500" s="485"/>
      <c r="D500" s="485"/>
      <c r="E500" s="485"/>
      <c r="F500" s="485"/>
      <c r="G500" s="486"/>
      <c r="H500" s="487"/>
      <c r="I500" s="491"/>
      <c r="J500" s="492"/>
      <c r="K500" s="492"/>
      <c r="L500" s="492"/>
      <c r="M500" s="492"/>
      <c r="N500" s="493"/>
      <c r="O500" s="494"/>
      <c r="P500" s="492"/>
      <c r="Q500" s="492"/>
      <c r="R500" s="492"/>
      <c r="S500" s="492"/>
      <c r="T500" s="492"/>
      <c r="U500" s="493"/>
      <c r="V500" s="493"/>
      <c r="W500" s="491"/>
      <c r="X500" s="492"/>
      <c r="Y500" s="492"/>
      <c r="Z500" s="492"/>
      <c r="AA500" s="492"/>
      <c r="AB500" s="493"/>
      <c r="AC500" s="494"/>
      <c r="AD500" s="486" t="s">
        <v>1264</v>
      </c>
      <c r="AE500" s="458"/>
      <c r="AI500" s="488"/>
      <c r="AJ500" s="490">
        <v>153</v>
      </c>
      <c r="AK500" s="490" t="s">
        <v>1265</v>
      </c>
    </row>
    <row r="501" spans="1:37" x14ac:dyDescent="0.25">
      <c r="A501" s="483" t="s">
        <v>1136</v>
      </c>
      <c r="B501" s="484" t="s">
        <v>66</v>
      </c>
      <c r="C501" s="485"/>
      <c r="D501" s="485"/>
      <c r="E501" s="485"/>
      <c r="F501" s="485"/>
      <c r="G501" s="486"/>
      <c r="H501" s="487"/>
      <c r="I501" s="491"/>
      <c r="J501" s="492"/>
      <c r="K501" s="492"/>
      <c r="L501" s="492"/>
      <c r="M501" s="492"/>
      <c r="N501" s="493"/>
      <c r="O501" s="494"/>
      <c r="P501" s="492"/>
      <c r="Q501" s="492"/>
      <c r="R501" s="492"/>
      <c r="S501" s="492"/>
      <c r="T501" s="492"/>
      <c r="U501" s="493"/>
      <c r="V501" s="493"/>
      <c r="W501" s="491"/>
      <c r="X501" s="492"/>
      <c r="Y501" s="492"/>
      <c r="Z501" s="492"/>
      <c r="AA501" s="492"/>
      <c r="AB501" s="493"/>
      <c r="AC501" s="494"/>
      <c r="AD501" s="486" t="s">
        <v>1264</v>
      </c>
      <c r="AE501" s="458"/>
      <c r="AI501" s="488"/>
      <c r="AJ501" s="490">
        <v>151</v>
      </c>
      <c r="AK501" s="490" t="s">
        <v>1265</v>
      </c>
    </row>
    <row r="502" spans="1:37" x14ac:dyDescent="0.25">
      <c r="A502" s="505" t="s">
        <v>1139</v>
      </c>
      <c r="B502" s="515"/>
      <c r="C502" s="458"/>
      <c r="D502" s="458"/>
      <c r="E502" s="458"/>
      <c r="F502" s="458"/>
      <c r="G502" s="458"/>
      <c r="H502" s="507"/>
      <c r="I502" s="516"/>
      <c r="J502" s="509"/>
      <c r="K502" s="509"/>
      <c r="L502" s="509"/>
      <c r="M502" s="509"/>
      <c r="N502" s="509"/>
      <c r="O502" s="510"/>
      <c r="P502" s="509"/>
      <c r="Q502" s="509"/>
      <c r="R502" s="509"/>
      <c r="S502" s="509"/>
      <c r="T502" s="509"/>
      <c r="U502" s="509"/>
      <c r="V502" s="509"/>
      <c r="W502" s="516"/>
      <c r="X502" s="509"/>
      <c r="Y502" s="509"/>
      <c r="Z502" s="509"/>
      <c r="AA502" s="509"/>
      <c r="AB502" s="509"/>
      <c r="AC502" s="510"/>
      <c r="AD502" s="499" t="s">
        <v>1268</v>
      </c>
      <c r="AE502" s="458"/>
      <c r="AI502" s="505"/>
      <c r="AJ502" s="489"/>
      <c r="AK502" s="490" t="s">
        <v>1265</v>
      </c>
    </row>
    <row r="503" spans="1:37" x14ac:dyDescent="0.25">
      <c r="A503" s="505" t="s">
        <v>1140</v>
      </c>
      <c r="B503" s="515"/>
      <c r="C503" s="458"/>
      <c r="D503" s="458"/>
      <c r="E503" s="458"/>
      <c r="F503" s="458"/>
      <c r="G503" s="458"/>
      <c r="H503" s="507"/>
      <c r="I503" s="516"/>
      <c r="J503" s="509"/>
      <c r="K503" s="509"/>
      <c r="L503" s="509"/>
      <c r="M503" s="509"/>
      <c r="N503" s="509"/>
      <c r="O503" s="510"/>
      <c r="P503" s="509"/>
      <c r="Q503" s="509"/>
      <c r="R503" s="509"/>
      <c r="S503" s="509"/>
      <c r="T503" s="509"/>
      <c r="U503" s="509"/>
      <c r="V503" s="509"/>
      <c r="W503" s="516"/>
      <c r="X503" s="509"/>
      <c r="Y503" s="509"/>
      <c r="Z503" s="509"/>
      <c r="AA503" s="509"/>
      <c r="AB503" s="509"/>
      <c r="AC503" s="510"/>
      <c r="AD503" s="499" t="s">
        <v>1268</v>
      </c>
      <c r="AE503" s="458"/>
      <c r="AI503" s="505"/>
      <c r="AJ503" s="489"/>
      <c r="AK503" s="490" t="s">
        <v>1265</v>
      </c>
    </row>
    <row r="504" spans="1:37" x14ac:dyDescent="0.25">
      <c r="A504" s="505" t="s">
        <v>1374</v>
      </c>
      <c r="B504" s="515" t="s">
        <v>56</v>
      </c>
      <c r="C504" s="458"/>
      <c r="D504" s="458"/>
      <c r="E504" s="458"/>
      <c r="F504" s="458"/>
      <c r="G504" s="458"/>
      <c r="H504" s="507"/>
      <c r="I504" s="516"/>
      <c r="J504" s="509"/>
      <c r="K504" s="509"/>
      <c r="L504" s="509"/>
      <c r="M504" s="509"/>
      <c r="N504" s="509"/>
      <c r="O504" s="510"/>
      <c r="P504" s="509"/>
      <c r="Q504" s="509"/>
      <c r="R504" s="509"/>
      <c r="S504" s="509"/>
      <c r="T504" s="509"/>
      <c r="U504" s="509"/>
      <c r="V504" s="509"/>
      <c r="W504" s="516"/>
      <c r="X504" s="509"/>
      <c r="Y504" s="509"/>
      <c r="Z504" s="509"/>
      <c r="AA504" s="509"/>
      <c r="AB504" s="509"/>
      <c r="AC504" s="510"/>
      <c r="AD504" s="499" t="s">
        <v>1268</v>
      </c>
      <c r="AE504" s="458"/>
      <c r="AI504" s="505"/>
      <c r="AJ504" s="489"/>
      <c r="AK504" s="490" t="s">
        <v>1265</v>
      </c>
    </row>
    <row r="505" spans="1:37" x14ac:dyDescent="0.25">
      <c r="A505" s="483" t="s">
        <v>1269</v>
      </c>
      <c r="B505" s="484"/>
      <c r="C505" s="485"/>
      <c r="D505" s="485"/>
      <c r="E505" s="485"/>
      <c r="F505" s="485"/>
      <c r="G505" s="486"/>
      <c r="H505" s="487"/>
      <c r="I505" s="491"/>
      <c r="J505" s="492"/>
      <c r="K505" s="492"/>
      <c r="L505" s="492"/>
      <c r="M505" s="492"/>
      <c r="N505" s="493"/>
      <c r="O505" s="494"/>
      <c r="P505" s="492"/>
      <c r="Q505" s="492"/>
      <c r="R505" s="492"/>
      <c r="S505" s="492"/>
      <c r="T505" s="492"/>
      <c r="U505" s="493"/>
      <c r="V505" s="493"/>
      <c r="W505" s="491"/>
      <c r="X505" s="492"/>
      <c r="Y505" s="492"/>
      <c r="Z505" s="492"/>
      <c r="AA505" s="492"/>
      <c r="AB505" s="493"/>
      <c r="AC505" s="494"/>
      <c r="AD505" s="486" t="s">
        <v>1270</v>
      </c>
      <c r="AE505" s="458"/>
      <c r="AI505" s="488"/>
      <c r="AJ505" s="489"/>
      <c r="AK505" s="490" t="s">
        <v>1265</v>
      </c>
    </row>
    <row r="506" spans="1:37" x14ac:dyDescent="0.25">
      <c r="A506" s="483" t="s">
        <v>1142</v>
      </c>
      <c r="B506" s="484"/>
      <c r="C506" s="485"/>
      <c r="D506" s="485"/>
      <c r="E506" s="485"/>
      <c r="F506" s="485"/>
      <c r="G506" s="486"/>
      <c r="H506" s="487"/>
      <c r="I506" s="491"/>
      <c r="J506" s="492"/>
      <c r="K506" s="492"/>
      <c r="L506" s="492"/>
      <c r="M506" s="492"/>
      <c r="N506" s="493"/>
      <c r="O506" s="494"/>
      <c r="P506" s="492"/>
      <c r="Q506" s="492"/>
      <c r="R506" s="492"/>
      <c r="S506" s="492"/>
      <c r="T506" s="492"/>
      <c r="U506" s="493"/>
      <c r="V506" s="493"/>
      <c r="W506" s="491"/>
      <c r="X506" s="492"/>
      <c r="Y506" s="492"/>
      <c r="Z506" s="492"/>
      <c r="AA506" s="492"/>
      <c r="AB506" s="493"/>
      <c r="AC506" s="494"/>
      <c r="AD506" s="486" t="s">
        <v>1270</v>
      </c>
      <c r="AE506" s="458"/>
      <c r="AI506" s="488"/>
      <c r="AJ506" s="489"/>
      <c r="AK506" s="490" t="s">
        <v>1265</v>
      </c>
    </row>
    <row r="507" spans="1:37" x14ac:dyDescent="0.25">
      <c r="A507" s="483" t="s">
        <v>1271</v>
      </c>
      <c r="B507" s="484"/>
      <c r="C507" s="485"/>
      <c r="D507" s="485"/>
      <c r="E507" s="485"/>
      <c r="F507" s="485"/>
      <c r="G507" s="486"/>
      <c r="H507" s="487"/>
      <c r="I507" s="491"/>
      <c r="J507" s="492"/>
      <c r="K507" s="492"/>
      <c r="L507" s="492"/>
      <c r="M507" s="492"/>
      <c r="N507" s="493"/>
      <c r="O507" s="494"/>
      <c r="P507" s="492"/>
      <c r="Q507" s="492"/>
      <c r="R507" s="492"/>
      <c r="S507" s="492"/>
      <c r="T507" s="492"/>
      <c r="U507" s="493"/>
      <c r="V507" s="493"/>
      <c r="W507" s="491"/>
      <c r="X507" s="492"/>
      <c r="Y507" s="492"/>
      <c r="Z507" s="492"/>
      <c r="AA507" s="492"/>
      <c r="AB507" s="493"/>
      <c r="AC507" s="494"/>
      <c r="AD507" s="486" t="s">
        <v>1270</v>
      </c>
      <c r="AE507" s="458"/>
      <c r="AI507" s="488"/>
      <c r="AJ507" s="489"/>
      <c r="AK507" s="490" t="s">
        <v>1265</v>
      </c>
    </row>
    <row r="508" spans="1:37" x14ac:dyDescent="0.25">
      <c r="A508" s="483" t="s">
        <v>1143</v>
      </c>
      <c r="B508" s="484"/>
      <c r="C508" s="485"/>
      <c r="D508" s="485"/>
      <c r="E508" s="485"/>
      <c r="F508" s="485"/>
      <c r="G508" s="486"/>
      <c r="H508" s="487"/>
      <c r="I508" s="491"/>
      <c r="J508" s="492"/>
      <c r="K508" s="492"/>
      <c r="L508" s="492"/>
      <c r="M508" s="492"/>
      <c r="N508" s="493"/>
      <c r="O508" s="494"/>
      <c r="P508" s="492"/>
      <c r="Q508" s="492"/>
      <c r="R508" s="492"/>
      <c r="S508" s="492"/>
      <c r="T508" s="492"/>
      <c r="U508" s="493"/>
      <c r="V508" s="493"/>
      <c r="W508" s="491"/>
      <c r="X508" s="492"/>
      <c r="Y508" s="492"/>
      <c r="Z508" s="492"/>
      <c r="AA508" s="492"/>
      <c r="AB508" s="493"/>
      <c r="AC508" s="494"/>
      <c r="AD508" s="486" t="s">
        <v>1270</v>
      </c>
      <c r="AE508" s="458"/>
      <c r="AI508" s="488"/>
      <c r="AJ508" s="489"/>
      <c r="AK508" s="490" t="s">
        <v>1265</v>
      </c>
    </row>
    <row r="509" spans="1:37" x14ac:dyDescent="0.25">
      <c r="A509" s="483" t="s">
        <v>1144</v>
      </c>
      <c r="B509" s="484" t="s">
        <v>56</v>
      </c>
      <c r="C509" s="485"/>
      <c r="D509" s="485"/>
      <c r="E509" s="485"/>
      <c r="F509" s="485"/>
      <c r="G509" s="486"/>
      <c r="H509" s="487"/>
      <c r="I509" s="491"/>
      <c r="J509" s="492"/>
      <c r="K509" s="492"/>
      <c r="L509" s="492"/>
      <c r="M509" s="492"/>
      <c r="N509" s="493"/>
      <c r="O509" s="494"/>
      <c r="P509" s="492"/>
      <c r="Q509" s="492"/>
      <c r="R509" s="492"/>
      <c r="S509" s="492"/>
      <c r="T509" s="492"/>
      <c r="U509" s="493"/>
      <c r="V509" s="493"/>
      <c r="W509" s="491"/>
      <c r="X509" s="492"/>
      <c r="Y509" s="492"/>
      <c r="Z509" s="492"/>
      <c r="AA509" s="492"/>
      <c r="AB509" s="493"/>
      <c r="AC509" s="494"/>
      <c r="AD509" s="486" t="s">
        <v>1270</v>
      </c>
      <c r="AE509" s="458"/>
      <c r="AI509" s="488"/>
      <c r="AJ509" s="489"/>
      <c r="AK509" s="490" t="s">
        <v>1265</v>
      </c>
    </row>
    <row r="510" spans="1:37" x14ac:dyDescent="0.25">
      <c r="A510" s="483" t="s">
        <v>1375</v>
      </c>
      <c r="B510" s="484" t="s">
        <v>66</v>
      </c>
      <c r="C510" s="485"/>
      <c r="D510" s="485"/>
      <c r="E510" s="485"/>
      <c r="F510" s="485"/>
      <c r="G510" s="486"/>
      <c r="H510" s="487"/>
      <c r="I510" s="491"/>
      <c r="J510" s="492"/>
      <c r="K510" s="492"/>
      <c r="L510" s="492"/>
      <c r="M510" s="492"/>
      <c r="N510" s="493"/>
      <c r="O510" s="494"/>
      <c r="P510" s="492"/>
      <c r="Q510" s="492"/>
      <c r="R510" s="492"/>
      <c r="S510" s="492"/>
      <c r="T510" s="492"/>
      <c r="U510" s="493"/>
      <c r="V510" s="493"/>
      <c r="W510" s="491"/>
      <c r="X510" s="492"/>
      <c r="Y510" s="492"/>
      <c r="Z510" s="492"/>
      <c r="AA510" s="492"/>
      <c r="AB510" s="493"/>
      <c r="AC510" s="494"/>
      <c r="AD510" s="486" t="s">
        <v>1270</v>
      </c>
      <c r="AE510" s="458"/>
      <c r="AI510" s="488"/>
      <c r="AJ510" s="489"/>
      <c r="AK510" s="490" t="s">
        <v>1265</v>
      </c>
    </row>
    <row r="511" spans="1:37" x14ac:dyDescent="0.25">
      <c r="A511" s="483" t="s">
        <v>1145</v>
      </c>
      <c r="B511" s="484" t="s">
        <v>56</v>
      </c>
      <c r="C511" s="485"/>
      <c r="D511" s="485"/>
      <c r="E511" s="485"/>
      <c r="F511" s="485"/>
      <c r="G511" s="486"/>
      <c r="H511" s="487"/>
      <c r="I511" s="491"/>
      <c r="J511" s="492"/>
      <c r="K511" s="492"/>
      <c r="L511" s="492"/>
      <c r="M511" s="492"/>
      <c r="N511" s="493"/>
      <c r="O511" s="494"/>
      <c r="P511" s="492"/>
      <c r="Q511" s="492"/>
      <c r="R511" s="492"/>
      <c r="S511" s="492"/>
      <c r="T511" s="492"/>
      <c r="U511" s="493"/>
      <c r="V511" s="493"/>
      <c r="W511" s="491"/>
      <c r="X511" s="492"/>
      <c r="Y511" s="492"/>
      <c r="Z511" s="492"/>
      <c r="AA511" s="492"/>
      <c r="AB511" s="493"/>
      <c r="AC511" s="494"/>
      <c r="AD511" s="486" t="s">
        <v>1270</v>
      </c>
      <c r="AE511" s="458"/>
      <c r="AI511" s="488"/>
      <c r="AJ511" s="489"/>
      <c r="AK511" s="490" t="s">
        <v>1265</v>
      </c>
    </row>
    <row r="512" spans="1:37" x14ac:dyDescent="0.25">
      <c r="A512" s="483" t="s">
        <v>1272</v>
      </c>
      <c r="B512" s="484"/>
      <c r="C512" s="485"/>
      <c r="D512" s="485"/>
      <c r="E512" s="485"/>
      <c r="F512" s="485"/>
      <c r="G512" s="486"/>
      <c r="H512" s="487"/>
      <c r="I512" s="491"/>
      <c r="J512" s="492"/>
      <c r="K512" s="492"/>
      <c r="L512" s="492"/>
      <c r="M512" s="492"/>
      <c r="N512" s="493"/>
      <c r="O512" s="494"/>
      <c r="P512" s="492"/>
      <c r="Q512" s="492"/>
      <c r="R512" s="492"/>
      <c r="S512" s="492"/>
      <c r="T512" s="492"/>
      <c r="U512" s="493"/>
      <c r="V512" s="493"/>
      <c r="W512" s="491"/>
      <c r="X512" s="492"/>
      <c r="Y512" s="492"/>
      <c r="Z512" s="492"/>
      <c r="AA512" s="492"/>
      <c r="AB512" s="493"/>
      <c r="AC512" s="494"/>
      <c r="AD512" s="486" t="s">
        <v>1270</v>
      </c>
      <c r="AE512" s="458"/>
      <c r="AI512" s="488"/>
      <c r="AJ512" s="489"/>
      <c r="AK512" s="490" t="s">
        <v>1265</v>
      </c>
    </row>
    <row r="513" spans="1:37" x14ac:dyDescent="0.25">
      <c r="A513" s="483" t="s">
        <v>1146</v>
      </c>
      <c r="B513" s="484" t="s">
        <v>56</v>
      </c>
      <c r="C513" s="485"/>
      <c r="D513" s="485"/>
      <c r="E513" s="485"/>
      <c r="F513" s="485"/>
      <c r="G513" s="486"/>
      <c r="H513" s="487"/>
      <c r="I513" s="491"/>
      <c r="J513" s="492"/>
      <c r="K513" s="492"/>
      <c r="L513" s="492"/>
      <c r="M513" s="492"/>
      <c r="N513" s="493"/>
      <c r="O513" s="494"/>
      <c r="P513" s="492"/>
      <c r="Q513" s="492"/>
      <c r="R513" s="492"/>
      <c r="S513" s="492"/>
      <c r="T513" s="492"/>
      <c r="U513" s="493"/>
      <c r="V513" s="493"/>
      <c r="W513" s="491"/>
      <c r="X513" s="492"/>
      <c r="Y513" s="492"/>
      <c r="Z513" s="492"/>
      <c r="AA513" s="492"/>
      <c r="AB513" s="493"/>
      <c r="AC513" s="494"/>
      <c r="AD513" s="486" t="s">
        <v>1270</v>
      </c>
      <c r="AE513" s="458"/>
      <c r="AI513" s="488"/>
      <c r="AJ513" s="489"/>
      <c r="AK513" s="490" t="s">
        <v>1265</v>
      </c>
    </row>
    <row r="514" spans="1:37" x14ac:dyDescent="0.25">
      <c r="A514" s="483" t="s">
        <v>1147</v>
      </c>
      <c r="B514" s="484" t="s">
        <v>56</v>
      </c>
      <c r="C514" s="485"/>
      <c r="D514" s="485"/>
      <c r="E514" s="485"/>
      <c r="F514" s="485"/>
      <c r="G514" s="486"/>
      <c r="H514" s="487"/>
      <c r="I514" s="491"/>
      <c r="J514" s="492"/>
      <c r="K514" s="492"/>
      <c r="L514" s="492"/>
      <c r="M514" s="492"/>
      <c r="N514" s="493"/>
      <c r="O514" s="494"/>
      <c r="P514" s="492"/>
      <c r="Q514" s="492"/>
      <c r="R514" s="492"/>
      <c r="S514" s="492"/>
      <c r="T514" s="492"/>
      <c r="U514" s="493"/>
      <c r="V514" s="493"/>
      <c r="W514" s="491"/>
      <c r="X514" s="492"/>
      <c r="Y514" s="492"/>
      <c r="Z514" s="492"/>
      <c r="AA514" s="492"/>
      <c r="AB514" s="493"/>
      <c r="AC514" s="494"/>
      <c r="AD514" s="486" t="s">
        <v>1270</v>
      </c>
      <c r="AE514" s="458"/>
      <c r="AI514" s="488"/>
      <c r="AJ514" s="489"/>
      <c r="AK514" s="490" t="s">
        <v>1265</v>
      </c>
    </row>
    <row r="515" spans="1:37" x14ac:dyDescent="0.25">
      <c r="A515" s="483" t="s">
        <v>1273</v>
      </c>
      <c r="B515" s="484"/>
      <c r="C515" s="485"/>
      <c r="D515" s="485"/>
      <c r="E515" s="485"/>
      <c r="F515" s="485"/>
      <c r="G515" s="486"/>
      <c r="H515" s="487"/>
      <c r="I515" s="491"/>
      <c r="J515" s="492"/>
      <c r="K515" s="492"/>
      <c r="L515" s="492"/>
      <c r="M515" s="492"/>
      <c r="N515" s="493"/>
      <c r="O515" s="494"/>
      <c r="P515" s="492"/>
      <c r="Q515" s="492"/>
      <c r="R515" s="492"/>
      <c r="S515" s="492"/>
      <c r="T515" s="492"/>
      <c r="U515" s="493"/>
      <c r="V515" s="493"/>
      <c r="W515" s="491"/>
      <c r="X515" s="492"/>
      <c r="Y515" s="492"/>
      <c r="Z515" s="492"/>
      <c r="AA515" s="492"/>
      <c r="AB515" s="493"/>
      <c r="AC515" s="494"/>
      <c r="AD515" s="486" t="s">
        <v>1270</v>
      </c>
      <c r="AE515" s="458"/>
      <c r="AI515" s="488"/>
      <c r="AJ515" s="489"/>
      <c r="AK515" s="490" t="s">
        <v>1265</v>
      </c>
    </row>
    <row r="516" spans="1:37" x14ac:dyDescent="0.25">
      <c r="A516" s="483" t="s">
        <v>1148</v>
      </c>
      <c r="B516" s="484" t="s">
        <v>56</v>
      </c>
      <c r="C516" s="485"/>
      <c r="D516" s="485"/>
      <c r="E516" s="485"/>
      <c r="F516" s="485"/>
      <c r="G516" s="486"/>
      <c r="H516" s="487"/>
      <c r="I516" s="491"/>
      <c r="J516" s="492"/>
      <c r="K516" s="492"/>
      <c r="L516" s="492"/>
      <c r="M516" s="492"/>
      <c r="N516" s="493"/>
      <c r="O516" s="494"/>
      <c r="P516" s="492"/>
      <c r="Q516" s="492"/>
      <c r="R516" s="492"/>
      <c r="S516" s="492"/>
      <c r="T516" s="492"/>
      <c r="U516" s="493"/>
      <c r="V516" s="493"/>
      <c r="W516" s="491"/>
      <c r="X516" s="492"/>
      <c r="Y516" s="492"/>
      <c r="Z516" s="492"/>
      <c r="AA516" s="492"/>
      <c r="AB516" s="493"/>
      <c r="AC516" s="494"/>
      <c r="AD516" s="486" t="s">
        <v>1270</v>
      </c>
      <c r="AE516" s="458"/>
      <c r="AI516" s="488"/>
      <c r="AJ516" s="489"/>
      <c r="AK516" s="490" t="s">
        <v>1265</v>
      </c>
    </row>
    <row r="517" spans="1:37" x14ac:dyDescent="0.25">
      <c r="A517" s="483" t="s">
        <v>1274</v>
      </c>
      <c r="B517" s="484"/>
      <c r="C517" s="485"/>
      <c r="D517" s="485"/>
      <c r="E517" s="485"/>
      <c r="F517" s="485"/>
      <c r="G517" s="486"/>
      <c r="H517" s="487"/>
      <c r="I517" s="491"/>
      <c r="J517" s="492"/>
      <c r="K517" s="492"/>
      <c r="L517" s="492"/>
      <c r="M517" s="492"/>
      <c r="N517" s="493"/>
      <c r="O517" s="494"/>
      <c r="P517" s="492"/>
      <c r="Q517" s="492"/>
      <c r="R517" s="492"/>
      <c r="S517" s="492"/>
      <c r="T517" s="492"/>
      <c r="U517" s="493"/>
      <c r="V517" s="493"/>
      <c r="W517" s="491"/>
      <c r="X517" s="492"/>
      <c r="Y517" s="492"/>
      <c r="Z517" s="492"/>
      <c r="AA517" s="492"/>
      <c r="AB517" s="493"/>
      <c r="AC517" s="494"/>
      <c r="AD517" s="486" t="s">
        <v>1270</v>
      </c>
      <c r="AE517" s="458"/>
      <c r="AI517" s="488"/>
      <c r="AJ517" s="489"/>
      <c r="AK517" s="490" t="s">
        <v>1265</v>
      </c>
    </row>
    <row r="518" spans="1:37" x14ac:dyDescent="0.25">
      <c r="A518" s="483" t="s">
        <v>1149</v>
      </c>
      <c r="B518" s="484"/>
      <c r="C518" s="485"/>
      <c r="D518" s="485"/>
      <c r="E518" s="485"/>
      <c r="F518" s="485"/>
      <c r="G518" s="486"/>
      <c r="H518" s="487"/>
      <c r="I518" s="491"/>
      <c r="J518" s="492"/>
      <c r="K518" s="492"/>
      <c r="L518" s="492"/>
      <c r="M518" s="492"/>
      <c r="N518" s="493"/>
      <c r="O518" s="494"/>
      <c r="P518" s="492"/>
      <c r="Q518" s="492"/>
      <c r="R518" s="492"/>
      <c r="S518" s="492"/>
      <c r="T518" s="492"/>
      <c r="U518" s="493"/>
      <c r="V518" s="493"/>
      <c r="W518" s="491"/>
      <c r="X518" s="492"/>
      <c r="Y518" s="492"/>
      <c r="Z518" s="492"/>
      <c r="AA518" s="492"/>
      <c r="AB518" s="493"/>
      <c r="AC518" s="494"/>
      <c r="AD518" s="486" t="s">
        <v>1270</v>
      </c>
      <c r="AE518" s="458"/>
      <c r="AI518" s="488"/>
      <c r="AJ518" s="489"/>
      <c r="AK518" s="490" t="s">
        <v>1265</v>
      </c>
    </row>
    <row r="519" spans="1:37" x14ac:dyDescent="0.25">
      <c r="A519" s="483" t="s">
        <v>1150</v>
      </c>
      <c r="B519" s="484" t="s">
        <v>56</v>
      </c>
      <c r="C519" s="485"/>
      <c r="D519" s="485"/>
      <c r="E519" s="485"/>
      <c r="F519" s="485"/>
      <c r="G519" s="486"/>
      <c r="H519" s="487"/>
      <c r="I519" s="491"/>
      <c r="J519" s="492"/>
      <c r="K519" s="492"/>
      <c r="L519" s="492"/>
      <c r="M519" s="492"/>
      <c r="N519" s="493"/>
      <c r="O519" s="494"/>
      <c r="P519" s="492"/>
      <c r="Q519" s="492"/>
      <c r="R519" s="492"/>
      <c r="S519" s="492"/>
      <c r="T519" s="492"/>
      <c r="U519" s="493"/>
      <c r="V519" s="493"/>
      <c r="W519" s="491"/>
      <c r="X519" s="492"/>
      <c r="Y519" s="492"/>
      <c r="Z519" s="492"/>
      <c r="AA519" s="492"/>
      <c r="AB519" s="493"/>
      <c r="AC519" s="494"/>
      <c r="AD519" s="486" t="s">
        <v>1270</v>
      </c>
      <c r="AE519" s="458"/>
      <c r="AI519" s="488"/>
      <c r="AJ519" s="489"/>
      <c r="AK519" s="490" t="s">
        <v>1265</v>
      </c>
    </row>
    <row r="520" spans="1:37" x14ac:dyDescent="0.25">
      <c r="A520" s="483" t="s">
        <v>1275</v>
      </c>
      <c r="B520" s="484" t="s">
        <v>56</v>
      </c>
      <c r="C520" s="485"/>
      <c r="D520" s="485"/>
      <c r="E520" s="485"/>
      <c r="F520" s="485"/>
      <c r="G520" s="486"/>
      <c r="H520" s="487"/>
      <c r="I520" s="491"/>
      <c r="J520" s="492"/>
      <c r="K520" s="492"/>
      <c r="L520" s="492"/>
      <c r="M520" s="492"/>
      <c r="N520" s="493"/>
      <c r="O520" s="494"/>
      <c r="P520" s="492"/>
      <c r="Q520" s="492"/>
      <c r="R520" s="492"/>
      <c r="S520" s="492"/>
      <c r="T520" s="492"/>
      <c r="U520" s="493"/>
      <c r="V520" s="493"/>
      <c r="W520" s="491"/>
      <c r="X520" s="492"/>
      <c r="Y520" s="492"/>
      <c r="Z520" s="492"/>
      <c r="AA520" s="492"/>
      <c r="AB520" s="493"/>
      <c r="AC520" s="494"/>
      <c r="AD520" s="486" t="s">
        <v>1270</v>
      </c>
      <c r="AE520" s="458"/>
      <c r="AI520" s="488"/>
      <c r="AJ520" s="489"/>
      <c r="AK520" s="490" t="s">
        <v>1265</v>
      </c>
    </row>
    <row r="521" spans="1:37" x14ac:dyDescent="0.25">
      <c r="A521" s="505" t="s">
        <v>838</v>
      </c>
      <c r="B521" s="515"/>
      <c r="C521" s="458"/>
      <c r="D521" s="458"/>
      <c r="E521" s="458"/>
      <c r="F521" s="458"/>
      <c r="G521" s="458"/>
      <c r="H521" s="507"/>
      <c r="I521" s="516"/>
      <c r="J521" s="509"/>
      <c r="K521" s="509"/>
      <c r="L521" s="509"/>
      <c r="M521" s="509"/>
      <c r="N521" s="509"/>
      <c r="O521" s="510"/>
      <c r="P521" s="509"/>
      <c r="Q521" s="509"/>
      <c r="R521" s="509"/>
      <c r="S521" s="509"/>
      <c r="T521" s="509"/>
      <c r="U521" s="509"/>
      <c r="V521" s="509"/>
      <c r="W521" s="516"/>
      <c r="X521" s="509"/>
      <c r="Y521" s="509"/>
      <c r="Z521" s="509"/>
      <c r="AA521" s="509"/>
      <c r="AB521" s="509"/>
      <c r="AC521" s="510"/>
      <c r="AD521" s="458" t="s">
        <v>839</v>
      </c>
      <c r="AE521" s="458">
        <v>30</v>
      </c>
      <c r="AI521" s="505"/>
      <c r="AJ521" s="489"/>
      <c r="AK521" s="490"/>
    </row>
    <row r="522" spans="1:37" x14ac:dyDescent="0.25">
      <c r="A522" s="505" t="s">
        <v>598</v>
      </c>
      <c r="B522" s="515"/>
      <c r="C522" s="458"/>
      <c r="D522" s="458"/>
      <c r="E522" s="458"/>
      <c r="F522" s="458"/>
      <c r="G522" s="458"/>
      <c r="H522" s="507"/>
      <c r="I522" s="516"/>
      <c r="J522" s="509"/>
      <c r="K522" s="509"/>
      <c r="L522" s="509"/>
      <c r="M522" s="509"/>
      <c r="N522" s="509"/>
      <c r="O522" s="510"/>
      <c r="P522" s="509"/>
      <c r="Q522" s="509"/>
      <c r="R522" s="509"/>
      <c r="S522" s="509"/>
      <c r="T522" s="509"/>
      <c r="U522" s="509"/>
      <c r="V522" s="509"/>
      <c r="W522" s="516"/>
      <c r="X522" s="509"/>
      <c r="Y522" s="509"/>
      <c r="Z522" s="509"/>
      <c r="AA522" s="509"/>
      <c r="AB522" s="509"/>
      <c r="AC522" s="510"/>
      <c r="AD522" s="458" t="s">
        <v>839</v>
      </c>
      <c r="AE522" s="458">
        <v>30</v>
      </c>
      <c r="AI522" s="505"/>
      <c r="AJ522" s="489"/>
      <c r="AK522" s="490"/>
    </row>
    <row r="523" spans="1:37" x14ac:dyDescent="0.25">
      <c r="A523" s="505" t="s">
        <v>842</v>
      </c>
      <c r="B523" s="515"/>
      <c r="C523" s="458"/>
      <c r="D523" s="458"/>
      <c r="E523" s="458"/>
      <c r="F523" s="458"/>
      <c r="G523" s="458"/>
      <c r="H523" s="507"/>
      <c r="I523" s="516"/>
      <c r="J523" s="509"/>
      <c r="K523" s="509"/>
      <c r="L523" s="509"/>
      <c r="M523" s="509"/>
      <c r="N523" s="509"/>
      <c r="O523" s="510"/>
      <c r="P523" s="509"/>
      <c r="Q523" s="509"/>
      <c r="R523" s="509"/>
      <c r="S523" s="509"/>
      <c r="T523" s="509"/>
      <c r="U523" s="509"/>
      <c r="V523" s="509"/>
      <c r="W523" s="516"/>
      <c r="X523" s="509"/>
      <c r="Y523" s="509"/>
      <c r="Z523" s="509"/>
      <c r="AA523" s="509"/>
      <c r="AB523" s="509"/>
      <c r="AC523" s="510"/>
      <c r="AD523" s="458" t="s">
        <v>839</v>
      </c>
      <c r="AE523" s="458">
        <v>30</v>
      </c>
      <c r="AI523" s="505"/>
      <c r="AJ523" s="489"/>
      <c r="AK523" s="490"/>
    </row>
    <row r="524" spans="1:37" x14ac:dyDescent="0.25">
      <c r="A524" s="505" t="s">
        <v>624</v>
      </c>
      <c r="B524" s="517"/>
      <c r="H524" s="518"/>
      <c r="I524" s="516"/>
      <c r="J524" s="509"/>
      <c r="K524" s="509"/>
      <c r="L524" s="509"/>
      <c r="M524" s="509"/>
      <c r="N524" s="509"/>
      <c r="O524" s="510"/>
      <c r="P524" s="509"/>
      <c r="Q524" s="509"/>
      <c r="R524" s="509"/>
      <c r="S524" s="509"/>
      <c r="T524" s="509"/>
      <c r="U524" s="509"/>
      <c r="V524" s="509"/>
      <c r="W524" s="516"/>
      <c r="X524" s="509"/>
      <c r="Y524" s="509"/>
      <c r="Z524" s="509"/>
      <c r="AA524" s="509"/>
      <c r="AB524" s="509"/>
      <c r="AC524" s="510"/>
      <c r="AD524" s="458" t="s">
        <v>839</v>
      </c>
      <c r="AE524" s="458">
        <v>30</v>
      </c>
      <c r="AI524" s="505"/>
      <c r="AJ524" s="489"/>
      <c r="AK524" s="490"/>
    </row>
    <row r="525" spans="1:37" x14ac:dyDescent="0.25">
      <c r="A525" s="505" t="s">
        <v>101</v>
      </c>
      <c r="B525" s="517"/>
      <c r="H525" s="518"/>
      <c r="I525" s="516"/>
      <c r="J525" s="509"/>
      <c r="K525" s="509"/>
      <c r="L525" s="509"/>
      <c r="M525" s="509"/>
      <c r="N525" s="509"/>
      <c r="O525" s="510"/>
      <c r="P525" s="509"/>
      <c r="Q525" s="509"/>
      <c r="R525" s="509"/>
      <c r="S525" s="509"/>
      <c r="T525" s="509"/>
      <c r="U525" s="509"/>
      <c r="V525" s="509"/>
      <c r="W525" s="516"/>
      <c r="X525" s="509"/>
      <c r="Y525" s="509"/>
      <c r="Z525" s="509"/>
      <c r="AA525" s="509"/>
      <c r="AB525" s="509"/>
      <c r="AC525" s="510"/>
      <c r="AD525" s="458" t="s">
        <v>839</v>
      </c>
      <c r="AE525" s="458">
        <v>30</v>
      </c>
      <c r="AI525" s="505"/>
      <c r="AJ525" s="489"/>
      <c r="AK525" s="490"/>
    </row>
    <row r="526" spans="1:37" x14ac:dyDescent="0.25">
      <c r="A526" s="505" t="s">
        <v>640</v>
      </c>
      <c r="B526" s="517"/>
      <c r="H526" s="518"/>
      <c r="I526" s="516"/>
      <c r="J526" s="509"/>
      <c r="K526" s="509"/>
      <c r="L526" s="509"/>
      <c r="M526" s="509"/>
      <c r="N526" s="509"/>
      <c r="O526" s="510"/>
      <c r="P526" s="509"/>
      <c r="Q526" s="509"/>
      <c r="R526" s="509"/>
      <c r="S526" s="509"/>
      <c r="T526" s="509"/>
      <c r="U526" s="509"/>
      <c r="V526" s="509"/>
      <c r="W526" s="516"/>
      <c r="X526" s="509"/>
      <c r="Y526" s="509"/>
      <c r="Z526" s="509"/>
      <c r="AA526" s="509"/>
      <c r="AB526" s="509"/>
      <c r="AC526" s="510"/>
      <c r="AD526" s="458" t="s">
        <v>839</v>
      </c>
      <c r="AE526" s="458">
        <v>30</v>
      </c>
      <c r="AI526" s="505"/>
      <c r="AJ526" s="489"/>
      <c r="AK526" s="490"/>
    </row>
    <row r="527" spans="1:37" x14ac:dyDescent="0.25">
      <c r="A527" s="505" t="s">
        <v>158</v>
      </c>
      <c r="B527" s="517"/>
      <c r="H527" s="518"/>
      <c r="I527" s="516"/>
      <c r="J527" s="509"/>
      <c r="K527" s="509"/>
      <c r="L527" s="509"/>
      <c r="M527" s="509"/>
      <c r="N527" s="509"/>
      <c r="O527" s="510"/>
      <c r="P527" s="509"/>
      <c r="Q527" s="509"/>
      <c r="R527" s="509"/>
      <c r="S527" s="509"/>
      <c r="T527" s="509"/>
      <c r="U527" s="509"/>
      <c r="V527" s="509"/>
      <c r="W527" s="516"/>
      <c r="X527" s="509"/>
      <c r="Y527" s="509"/>
      <c r="Z527" s="509"/>
      <c r="AA527" s="509"/>
      <c r="AB527" s="509"/>
      <c r="AC527" s="510"/>
      <c r="AD527" s="458" t="s">
        <v>839</v>
      </c>
      <c r="AE527" s="458">
        <v>30</v>
      </c>
      <c r="AI527" s="505"/>
      <c r="AJ527" s="489"/>
      <c r="AK527" s="490"/>
    </row>
    <row r="528" spans="1:37" x14ac:dyDescent="0.25">
      <c r="A528" s="505" t="s">
        <v>850</v>
      </c>
      <c r="B528" s="517"/>
      <c r="H528" s="518"/>
      <c r="I528" s="516"/>
      <c r="J528" s="509"/>
      <c r="K528" s="509"/>
      <c r="L528" s="509"/>
      <c r="M528" s="509"/>
      <c r="N528" s="509"/>
      <c r="O528" s="510"/>
      <c r="P528" s="509"/>
      <c r="Q528" s="509"/>
      <c r="R528" s="509"/>
      <c r="S528" s="509"/>
      <c r="T528" s="509"/>
      <c r="U528" s="509"/>
      <c r="V528" s="509"/>
      <c r="W528" s="516"/>
      <c r="X528" s="509"/>
      <c r="Y528" s="509"/>
      <c r="Z528" s="509"/>
      <c r="AA528" s="509"/>
      <c r="AB528" s="509"/>
      <c r="AC528" s="510"/>
      <c r="AD528" s="458" t="s">
        <v>839</v>
      </c>
      <c r="AE528" s="458">
        <v>30</v>
      </c>
      <c r="AI528" s="505"/>
      <c r="AJ528" s="489"/>
      <c r="AK528" s="490"/>
    </row>
    <row r="529" spans="1:37" x14ac:dyDescent="0.25">
      <c r="A529" s="505" t="s">
        <v>699</v>
      </c>
      <c r="B529" s="517"/>
      <c r="H529" s="518"/>
      <c r="I529" s="516"/>
      <c r="J529" s="509"/>
      <c r="K529" s="509"/>
      <c r="L529" s="509"/>
      <c r="M529" s="509"/>
      <c r="N529" s="509"/>
      <c r="O529" s="510"/>
      <c r="P529" s="509"/>
      <c r="Q529" s="509"/>
      <c r="R529" s="509"/>
      <c r="S529" s="509"/>
      <c r="T529" s="509"/>
      <c r="U529" s="509"/>
      <c r="V529" s="509"/>
      <c r="W529" s="516"/>
      <c r="X529" s="509"/>
      <c r="Y529" s="509"/>
      <c r="Z529" s="509"/>
      <c r="AA529" s="509"/>
      <c r="AB529" s="509"/>
      <c r="AC529" s="510"/>
      <c r="AD529" s="458" t="s">
        <v>839</v>
      </c>
      <c r="AE529" s="458">
        <v>30</v>
      </c>
      <c r="AI529" s="505"/>
      <c r="AJ529" s="489"/>
      <c r="AK529" s="490"/>
    </row>
    <row r="530" spans="1:37" x14ac:dyDescent="0.25">
      <c r="A530" s="505" t="s">
        <v>708</v>
      </c>
      <c r="B530" s="517"/>
      <c r="H530" s="518"/>
      <c r="I530" s="516"/>
      <c r="J530" s="509"/>
      <c r="K530" s="509"/>
      <c r="L530" s="509"/>
      <c r="M530" s="509"/>
      <c r="N530" s="509"/>
      <c r="O530" s="510"/>
      <c r="P530" s="509"/>
      <c r="Q530" s="509"/>
      <c r="R530" s="509"/>
      <c r="S530" s="509"/>
      <c r="T530" s="509"/>
      <c r="U530" s="509"/>
      <c r="V530" s="509"/>
      <c r="W530" s="516"/>
      <c r="X530" s="509"/>
      <c r="Y530" s="509"/>
      <c r="Z530" s="509"/>
      <c r="AA530" s="509"/>
      <c r="AB530" s="509"/>
      <c r="AC530" s="510"/>
      <c r="AD530" s="458" t="s">
        <v>839</v>
      </c>
      <c r="AE530" s="458">
        <v>30</v>
      </c>
      <c r="AI530" s="505"/>
      <c r="AJ530" s="489"/>
      <c r="AK530" s="490"/>
    </row>
    <row r="531" spans="1:37" x14ac:dyDescent="0.25">
      <c r="A531" s="505" t="s">
        <v>856</v>
      </c>
      <c r="B531" s="517"/>
      <c r="H531" s="518"/>
      <c r="I531" s="516"/>
      <c r="J531" s="509"/>
      <c r="K531" s="509"/>
      <c r="L531" s="509"/>
      <c r="M531" s="509"/>
      <c r="N531" s="509"/>
      <c r="O531" s="510"/>
      <c r="P531" s="509"/>
      <c r="Q531" s="509"/>
      <c r="R531" s="509"/>
      <c r="S531" s="509"/>
      <c r="T531" s="509"/>
      <c r="U531" s="509"/>
      <c r="V531" s="509"/>
      <c r="W531" s="516"/>
      <c r="X531" s="509"/>
      <c r="Y531" s="509"/>
      <c r="Z531" s="509"/>
      <c r="AA531" s="509"/>
      <c r="AB531" s="509"/>
      <c r="AC531" s="510"/>
      <c r="AD531" s="458" t="s">
        <v>839</v>
      </c>
      <c r="AE531" s="458">
        <v>30</v>
      </c>
      <c r="AI531" s="505"/>
      <c r="AJ531" s="489"/>
      <c r="AK531" s="490"/>
    </row>
    <row r="532" spans="1:37" x14ac:dyDescent="0.25">
      <c r="A532" s="505" t="s">
        <v>858</v>
      </c>
      <c r="B532" s="517"/>
      <c r="H532" s="518"/>
      <c r="I532" s="516"/>
      <c r="J532" s="509"/>
      <c r="K532" s="509"/>
      <c r="L532" s="509"/>
      <c r="M532" s="509"/>
      <c r="N532" s="509"/>
      <c r="O532" s="510"/>
      <c r="P532" s="509"/>
      <c r="Q532" s="509"/>
      <c r="R532" s="509"/>
      <c r="S532" s="509"/>
      <c r="T532" s="509"/>
      <c r="U532" s="509"/>
      <c r="V532" s="509"/>
      <c r="W532" s="516"/>
      <c r="X532" s="509"/>
      <c r="Y532" s="509"/>
      <c r="Z532" s="509"/>
      <c r="AA532" s="509"/>
      <c r="AB532" s="509"/>
      <c r="AC532" s="510"/>
      <c r="AD532" s="458" t="s">
        <v>839</v>
      </c>
      <c r="AE532" s="458">
        <v>30</v>
      </c>
      <c r="AI532" s="505"/>
      <c r="AJ532" s="489"/>
      <c r="AK532" s="490"/>
    </row>
    <row r="533" spans="1:37" x14ac:dyDescent="0.25">
      <c r="A533" s="505"/>
      <c r="B533" s="519"/>
      <c r="H533" s="518"/>
      <c r="I533" s="508"/>
      <c r="J533" s="509"/>
      <c r="K533" s="509"/>
      <c r="L533" s="509"/>
      <c r="M533" s="509"/>
      <c r="N533" s="509"/>
      <c r="O533" s="510"/>
      <c r="P533" s="511"/>
      <c r="Q533" s="509"/>
      <c r="R533" s="509"/>
      <c r="S533" s="509"/>
      <c r="T533" s="509"/>
      <c r="U533" s="509"/>
      <c r="V533" s="509"/>
      <c r="W533" s="508"/>
      <c r="X533" s="509"/>
      <c r="Y533" s="509"/>
      <c r="Z533" s="509"/>
      <c r="AA533" s="509"/>
      <c r="AB533" s="509"/>
      <c r="AC533" s="510"/>
      <c r="AD533" s="458"/>
      <c r="AE533" s="458"/>
      <c r="AI533" s="505"/>
      <c r="AJ533" s="489"/>
      <c r="AK533" s="490"/>
    </row>
    <row r="534" spans="1:37" x14ac:dyDescent="0.25">
      <c r="A534" s="520" t="s">
        <v>1155</v>
      </c>
      <c r="B534" s="517" t="s">
        <v>56</v>
      </c>
      <c r="H534" s="518">
        <v>1</v>
      </c>
      <c r="I534" s="516"/>
      <c r="J534" s="509"/>
      <c r="K534" s="509"/>
      <c r="L534" s="509"/>
      <c r="M534" s="509"/>
      <c r="N534" s="509"/>
      <c r="O534" s="510"/>
      <c r="P534" s="509"/>
      <c r="Q534" s="509"/>
      <c r="R534" s="509"/>
      <c r="S534" s="509"/>
      <c r="T534" s="509"/>
      <c r="U534" s="509"/>
      <c r="V534" s="509"/>
      <c r="W534" s="516"/>
      <c r="X534" s="509"/>
      <c r="Y534" s="509"/>
      <c r="Z534" s="509"/>
      <c r="AA534" s="509"/>
      <c r="AB534" s="509"/>
      <c r="AC534" s="510"/>
      <c r="AD534" s="458" t="s">
        <v>1276</v>
      </c>
      <c r="AE534" s="458">
        <v>35</v>
      </c>
      <c r="AI534" s="505"/>
      <c r="AJ534" s="490">
        <v>393</v>
      </c>
      <c r="AK534" s="490" t="s">
        <v>1265</v>
      </c>
    </row>
    <row r="535" spans="1:37" x14ac:dyDescent="0.25">
      <c r="A535" s="520" t="s">
        <v>1158</v>
      </c>
      <c r="B535" s="517" t="s">
        <v>66</v>
      </c>
      <c r="H535" s="518">
        <v>1</v>
      </c>
      <c r="I535" s="516"/>
      <c r="J535" s="509"/>
      <c r="K535" s="509"/>
      <c r="L535" s="509"/>
      <c r="M535" s="509"/>
      <c r="N535" s="509"/>
      <c r="O535" s="510"/>
      <c r="P535" s="509"/>
      <c r="Q535" s="509"/>
      <c r="R535" s="509"/>
      <c r="S535" s="509"/>
      <c r="T535" s="509"/>
      <c r="U535" s="509"/>
      <c r="V535" s="509"/>
      <c r="W535" s="516"/>
      <c r="X535" s="509"/>
      <c r="Y535" s="509"/>
      <c r="Z535" s="509"/>
      <c r="AA535" s="509"/>
      <c r="AB535" s="509"/>
      <c r="AC535" s="510"/>
      <c r="AD535" s="458" t="s">
        <v>1276</v>
      </c>
      <c r="AE535" s="458">
        <v>35</v>
      </c>
      <c r="AI535" s="505"/>
      <c r="AJ535" s="490">
        <v>394</v>
      </c>
      <c r="AK535" s="490" t="s">
        <v>1265</v>
      </c>
    </row>
    <row r="536" spans="1:37" x14ac:dyDescent="0.25">
      <c r="A536" s="57" t="s">
        <v>1160</v>
      </c>
      <c r="B536" s="517" t="s">
        <v>66</v>
      </c>
      <c r="H536" s="518">
        <v>1</v>
      </c>
      <c r="I536" s="516"/>
      <c r="J536" s="509"/>
      <c r="K536" s="509"/>
      <c r="L536" s="509"/>
      <c r="M536" s="509"/>
      <c r="N536" s="509"/>
      <c r="O536" s="510"/>
      <c r="P536" s="509"/>
      <c r="Q536" s="509"/>
      <c r="R536" s="509"/>
      <c r="S536" s="509"/>
      <c r="T536" s="509"/>
      <c r="U536" s="509"/>
      <c r="V536" s="509"/>
      <c r="W536" s="516"/>
      <c r="X536" s="509"/>
      <c r="Y536" s="509"/>
      <c r="Z536" s="509"/>
      <c r="AA536" s="509"/>
      <c r="AB536" s="509"/>
      <c r="AC536" s="510"/>
      <c r="AD536" s="458" t="s">
        <v>1276</v>
      </c>
      <c r="AE536" s="458">
        <v>35</v>
      </c>
      <c r="AI536" s="505"/>
      <c r="AJ536" s="490">
        <v>395</v>
      </c>
      <c r="AK536" s="490" t="s">
        <v>1265</v>
      </c>
    </row>
    <row r="537" spans="1:37" x14ac:dyDescent="0.25">
      <c r="A537" s="57" t="s">
        <v>1162</v>
      </c>
      <c r="B537" s="517" t="s">
        <v>66</v>
      </c>
      <c r="H537" s="518">
        <v>1</v>
      </c>
      <c r="I537" s="516"/>
      <c r="J537" s="509"/>
      <c r="K537" s="509"/>
      <c r="L537" s="509"/>
      <c r="M537" s="509"/>
      <c r="N537" s="509"/>
      <c r="O537" s="510"/>
      <c r="P537" s="509"/>
      <c r="Q537" s="509"/>
      <c r="R537" s="509"/>
      <c r="S537" s="509"/>
      <c r="T537" s="509"/>
      <c r="U537" s="509"/>
      <c r="V537" s="509"/>
      <c r="W537" s="516"/>
      <c r="X537" s="509"/>
      <c r="Y537" s="509"/>
      <c r="Z537" s="509"/>
      <c r="AA537" s="509"/>
      <c r="AB537" s="509"/>
      <c r="AC537" s="510"/>
      <c r="AD537" s="458" t="s">
        <v>1276</v>
      </c>
      <c r="AE537" s="458">
        <v>35</v>
      </c>
      <c r="AI537" s="505"/>
      <c r="AJ537" s="490">
        <v>396</v>
      </c>
      <c r="AK537" s="490" t="s">
        <v>1265</v>
      </c>
    </row>
    <row r="538" spans="1:37" x14ac:dyDescent="0.25">
      <c r="A538" s="57" t="s">
        <v>1164</v>
      </c>
      <c r="B538" s="517" t="s">
        <v>66</v>
      </c>
      <c r="H538" s="518">
        <v>1</v>
      </c>
      <c r="I538" s="516"/>
      <c r="J538" s="509"/>
      <c r="K538" s="509"/>
      <c r="L538" s="509"/>
      <c r="M538" s="509"/>
      <c r="N538" s="509"/>
      <c r="O538" s="510"/>
      <c r="P538" s="509"/>
      <c r="Q538" s="509"/>
      <c r="R538" s="509"/>
      <c r="S538" s="509"/>
      <c r="T538" s="509"/>
      <c r="U538" s="509"/>
      <c r="V538" s="509"/>
      <c r="W538" s="516"/>
      <c r="X538" s="509"/>
      <c r="Y538" s="509"/>
      <c r="Z538" s="509"/>
      <c r="AA538" s="509"/>
      <c r="AB538" s="509"/>
      <c r="AC538" s="510"/>
      <c r="AD538" s="458" t="s">
        <v>1276</v>
      </c>
      <c r="AE538" s="458">
        <v>35</v>
      </c>
      <c r="AI538" s="505"/>
      <c r="AJ538" s="490">
        <v>397</v>
      </c>
      <c r="AK538" s="490" t="s">
        <v>1265</v>
      </c>
    </row>
    <row r="539" spans="1:37" x14ac:dyDescent="0.25">
      <c r="A539" s="521" t="s">
        <v>1277</v>
      </c>
      <c r="B539" s="517" t="s">
        <v>66</v>
      </c>
      <c r="H539" s="518">
        <v>1</v>
      </c>
      <c r="I539" s="516"/>
      <c r="J539" s="509"/>
      <c r="K539" s="509"/>
      <c r="L539" s="509"/>
      <c r="M539" s="509"/>
      <c r="N539" s="509"/>
      <c r="O539" s="510"/>
      <c r="P539" s="509"/>
      <c r="Q539" s="509"/>
      <c r="R539" s="509"/>
      <c r="S539" s="509"/>
      <c r="T539" s="509"/>
      <c r="U539" s="509"/>
      <c r="V539" s="509"/>
      <c r="W539" s="516"/>
      <c r="X539" s="509"/>
      <c r="Y539" s="509"/>
      <c r="Z539" s="509"/>
      <c r="AA539" s="509"/>
      <c r="AB539" s="509"/>
      <c r="AC539" s="510"/>
      <c r="AD539" s="458" t="s">
        <v>1276</v>
      </c>
      <c r="AE539" s="458">
        <v>35</v>
      </c>
      <c r="AI539" s="505"/>
      <c r="AJ539" s="489"/>
      <c r="AK539" s="490" t="s">
        <v>1265</v>
      </c>
    </row>
  </sheetData>
  <sortState xmlns:xlrd2="http://schemas.microsoft.com/office/spreadsheetml/2017/richdata2" ref="A44:A49">
    <sortCondition ref="A44:A49"/>
  </sortState>
  <pageMargins left="0.70000000000000007" right="0.70000000000000007" top="0.75" bottom="0.75" header="0.30000000000000004" footer="0.3000000000000000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Order</vt:lpstr>
      <vt:lpstr>Print_Order</vt:lpstr>
      <vt:lpstr>A</vt:lpstr>
      <vt:lpstr>Order!Print_Area</vt:lpstr>
      <vt:lpstr>Print_Order!Print_Area</vt:lpstr>
      <vt:lpstr>Order!Print_Titles</vt:lpstr>
      <vt:lpstr>Print_Order!Print_Titles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Lowe</dc:creator>
  <cp:lastModifiedBy>Oscar Hallifax-Plaza</cp:lastModifiedBy>
  <cp:lastPrinted>2021-09-10T10:10:07Z</cp:lastPrinted>
  <dcterms:created xsi:type="dcterms:W3CDTF">2017-09-21T08:47:27Z</dcterms:created>
  <dcterms:modified xsi:type="dcterms:W3CDTF">2021-09-10T10:10:11Z</dcterms:modified>
</cp:coreProperties>
</file>